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1C4BD0EB-138D-4CFE-AF44-8D543EA464E3}" xr6:coauthVersionLast="38" xr6:coauthVersionMax="38" xr10:uidLastSave="{00000000-0000-0000-0000-000000000000}"/>
  <bookViews>
    <workbookView xWindow="0" yWindow="0" windowWidth="21540" windowHeight="8460" tabRatio="659" xr2:uid="{00000000-000D-0000-FFFF-FFFF00000000}"/>
  </bookViews>
  <sheets>
    <sheet name="WYBRANE DANE" sheetId="4" r:id="rId1"/>
    <sheet name="BILANS" sheetId="9" r:id="rId2"/>
    <sheet name="RZIS " sheetId="3" r:id="rId3"/>
    <sheet name="PP" sheetId="6" r:id="rId4"/>
    <sheet name="ZZWKW" sheetId="7" r:id="rId5"/>
    <sheet name="SEGMENTY I" sheetId="5" r:id="rId6"/>
    <sheet name="SEGMENTY II" sheetId="21" r:id="rId7"/>
    <sheet name="WKAŹNIKI" sheetId="1" r:id="rId8"/>
    <sheet name="LUBAWA S.A. - WYBRANE DANE" sheetId="22" r:id="rId9"/>
  </sheets>
  <externalReferences>
    <externalReference r:id="rId10"/>
    <externalReference r:id="rId11"/>
  </externalReferences>
  <definedNames>
    <definedName name="_xlnm.Print_Area" localSheetId="1">BILANS!$A$1:$Z$60</definedName>
    <definedName name="_xlnm.Print_Area" localSheetId="8">'LUBAWA S.A. - WYBRANE DANE'!$A$1:$Q$48</definedName>
    <definedName name="_xlnm.Print_Area" localSheetId="3">PP!$A$1:$Z$50</definedName>
    <definedName name="_xlnm.Print_Area" localSheetId="2">'RZIS '!$A$1:$Z$36</definedName>
    <definedName name="_xlnm.Print_Area" localSheetId="5">'SEGMENTY I'!$A$1:$U$56</definedName>
    <definedName name="_xlnm.Print_Area" localSheetId="6">'SEGMENTY II'!$A$1:$S$30</definedName>
    <definedName name="_xlnm.Print_Area" localSheetId="7">WKAŹNIKI!$A$1:$T$16</definedName>
    <definedName name="_xlnm.Print_Area" localSheetId="0">'WYBRANE DANE'!$A$1:$Q$48</definedName>
    <definedName name="_xlnm.Print_Area" localSheetId="4">ZZWKW!$A$1:$AM$18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2" l="1"/>
  <c r="B28" i="22"/>
  <c r="B6" i="21" l="1"/>
  <c r="B39" i="5"/>
  <c r="B38" i="5"/>
  <c r="B35" i="5"/>
  <c r="B34" i="5"/>
  <c r="D32" i="7"/>
  <c r="E32" i="7" s="1"/>
  <c r="B8" i="6"/>
  <c r="B23" i="6" s="1"/>
  <c r="B17" i="6"/>
  <c r="C8" i="6"/>
  <c r="B7" i="6"/>
  <c r="B33" i="3"/>
  <c r="B8" i="3"/>
  <c r="B25" i="9"/>
  <c r="B30" i="9"/>
  <c r="G23" i="22" l="1"/>
  <c r="C24" i="22"/>
  <c r="C32" i="22"/>
  <c r="B47" i="22"/>
  <c r="D44" i="22"/>
  <c r="B43" i="22"/>
  <c r="B48" i="22"/>
  <c r="B44" i="22"/>
  <c r="B45" i="22"/>
  <c r="D45" i="22"/>
  <c r="C33" i="22"/>
  <c r="C34" i="22"/>
  <c r="C35" i="22"/>
  <c r="C36" i="22"/>
  <c r="C37" i="22"/>
  <c r="C25" i="22"/>
  <c r="C26" i="22"/>
  <c r="C27" i="22"/>
  <c r="C29" i="22"/>
  <c r="C30" i="22"/>
  <c r="E24" i="22"/>
  <c r="B41" i="22"/>
  <c r="D41" i="22"/>
  <c r="B42" i="22"/>
  <c r="D42" i="22"/>
  <c r="B21" i="21" l="1"/>
  <c r="B24" i="21"/>
  <c r="B25" i="21"/>
  <c r="B20" i="21"/>
  <c r="B10" i="21"/>
  <c r="B11" i="21"/>
  <c r="B7" i="21"/>
  <c r="B54" i="5"/>
  <c r="B53" i="5"/>
  <c r="B52" i="5"/>
  <c r="B49" i="5"/>
  <c r="B48" i="5"/>
  <c r="B50" i="5" s="1"/>
  <c r="B56" i="5" l="1"/>
  <c r="B40" i="5"/>
  <c r="B36" i="5"/>
  <c r="B28" i="5"/>
  <c r="B26" i="5"/>
  <c r="B22" i="5"/>
  <c r="B12" i="5"/>
  <c r="B8" i="5"/>
  <c r="B42" i="5" l="1"/>
  <c r="B14" i="5"/>
  <c r="D31" i="7"/>
  <c r="E31" i="7" s="1"/>
  <c r="F32" i="7"/>
  <c r="C32" i="7"/>
  <c r="B45" i="4" l="1"/>
  <c r="B23" i="4"/>
  <c r="D23" i="4"/>
  <c r="B44" i="6"/>
  <c r="B35" i="6"/>
  <c r="B46" i="6" s="1"/>
  <c r="B48" i="6" s="1"/>
  <c r="B41" i="4" l="1"/>
  <c r="B50" i="6"/>
  <c r="B24" i="4"/>
  <c r="B58" i="9"/>
  <c r="B48" i="9"/>
  <c r="B36" i="4" s="1"/>
  <c r="B38" i="9"/>
  <c r="B40" i="9" s="1"/>
  <c r="B35" i="4" s="1"/>
  <c r="B34" i="4"/>
  <c r="B17" i="9"/>
  <c r="B33" i="4" l="1"/>
  <c r="B31" i="9"/>
  <c r="B11" i="3"/>
  <c r="B59" i="9"/>
  <c r="B60" i="9" s="1"/>
  <c r="B37" i="4"/>
  <c r="B32" i="4"/>
  <c r="B25" i="4" l="1"/>
  <c r="B14" i="3"/>
  <c r="C6" i="21"/>
  <c r="C53" i="5"/>
  <c r="B53" i="21" s="1"/>
  <c r="C52" i="5"/>
  <c r="B52" i="21" s="1"/>
  <c r="C49" i="5"/>
  <c r="B49" i="21" s="1"/>
  <c r="C48" i="5"/>
  <c r="B48" i="21" s="1"/>
  <c r="C39" i="5"/>
  <c r="B39" i="21" s="1"/>
  <c r="C38" i="5"/>
  <c r="B38" i="21" s="1"/>
  <c r="C35" i="5"/>
  <c r="B35" i="21" s="1"/>
  <c r="C34" i="5"/>
  <c r="B34" i="21" s="1"/>
  <c r="C40" i="5" l="1"/>
  <c r="B40" i="21" s="1"/>
  <c r="B26" i="4"/>
  <c r="B28" i="4" s="1"/>
  <c r="B18" i="3"/>
  <c r="B21" i="3" l="1"/>
  <c r="B29" i="4"/>
  <c r="B23" i="3" l="1"/>
  <c r="B30" i="4"/>
  <c r="B34" i="3"/>
  <c r="F28" i="22"/>
  <c r="D28" i="22"/>
  <c r="B46" i="22" s="1"/>
  <c r="E27" i="22"/>
  <c r="D43" i="22" l="1"/>
  <c r="D46" i="22"/>
  <c r="D47" i="22"/>
  <c r="D48" i="22"/>
  <c r="C49" i="21"/>
  <c r="C52" i="21"/>
  <c r="C53" i="21"/>
  <c r="C48" i="21"/>
  <c r="C35" i="21"/>
  <c r="C38" i="21"/>
  <c r="C39" i="21"/>
  <c r="C34" i="21"/>
  <c r="C21" i="21"/>
  <c r="C24" i="21"/>
  <c r="C25" i="21"/>
  <c r="C26" i="21" s="1"/>
  <c r="C20" i="21"/>
  <c r="C7" i="21"/>
  <c r="C8" i="21" s="1"/>
  <c r="C10" i="21"/>
  <c r="C11" i="21"/>
  <c r="C12" i="21" s="1"/>
  <c r="C54" i="5"/>
  <c r="B54" i="21" s="1"/>
  <c r="C26" i="5"/>
  <c r="B26" i="21" s="1"/>
  <c r="C12" i="5"/>
  <c r="B12" i="21" s="1"/>
  <c r="C8" i="5"/>
  <c r="C50" i="5"/>
  <c r="C36" i="5"/>
  <c r="C22" i="5"/>
  <c r="C56" i="5" l="1"/>
  <c r="B56" i="21" s="1"/>
  <c r="B50" i="21"/>
  <c r="C28" i="5"/>
  <c r="B28" i="21" s="1"/>
  <c r="B22" i="21"/>
  <c r="C14" i="5"/>
  <c r="B14" i="21" s="1"/>
  <c r="B8" i="21"/>
  <c r="C42" i="5"/>
  <c r="B42" i="21" s="1"/>
  <c r="B36" i="21"/>
  <c r="C14" i="21"/>
  <c r="C22" i="21"/>
  <c r="C36" i="21"/>
  <c r="C50" i="21"/>
  <c r="C54" i="21"/>
  <c r="C40" i="21"/>
  <c r="C28" i="21"/>
  <c r="F41" i="22"/>
  <c r="C42" i="21" l="1"/>
  <c r="C56" i="21"/>
  <c r="D45" i="4"/>
  <c r="F31" i="7" l="1"/>
  <c r="C31" i="7"/>
  <c r="E27" i="4"/>
  <c r="C44" i="6"/>
  <c r="C35" i="6"/>
  <c r="C23" i="6"/>
  <c r="C58" i="9"/>
  <c r="D37" i="4" s="1"/>
  <c r="C48" i="9"/>
  <c r="C38" i="9"/>
  <c r="C40" i="9" s="1"/>
  <c r="D35" i="4" s="1"/>
  <c r="C30" i="9"/>
  <c r="D34" i="4" s="1"/>
  <c r="C17" i="9"/>
  <c r="D33" i="4" s="1"/>
  <c r="C33" i="3"/>
  <c r="C8" i="3"/>
  <c r="C11" i="3" s="1"/>
  <c r="C14" i="3" s="1"/>
  <c r="C18" i="3" s="1"/>
  <c r="C21" i="3" s="1"/>
  <c r="D30" i="4" s="1"/>
  <c r="B48" i="4" s="1"/>
  <c r="F23" i="4"/>
  <c r="G31" i="7" l="1"/>
  <c r="F41" i="4"/>
  <c r="D41" i="4"/>
  <c r="C59" i="9"/>
  <c r="C60" i="9" s="1"/>
  <c r="D24" i="4"/>
  <c r="B42" i="4" s="1"/>
  <c r="C46" i="6"/>
  <c r="C48" i="6" s="1"/>
  <c r="D25" i="4"/>
  <c r="B43" i="4" s="1"/>
  <c r="D26" i="4"/>
  <c r="B44" i="4" s="1"/>
  <c r="C31" i="9"/>
  <c r="D32" i="4" s="1"/>
  <c r="D29" i="4"/>
  <c r="B47" i="4" s="1"/>
  <c r="D36" i="4"/>
  <c r="C34" i="3"/>
  <c r="C36" i="3" s="1"/>
  <c r="C23" i="3"/>
  <c r="D28" i="4" l="1"/>
  <c r="B46" i="4" s="1"/>
  <c r="F45" i="4" l="1"/>
  <c r="D53" i="21" l="1"/>
  <c r="D52" i="21"/>
  <c r="D49" i="21"/>
  <c r="D48" i="21"/>
  <c r="D39" i="21"/>
  <c r="D38" i="21"/>
  <c r="D35" i="21"/>
  <c r="D34" i="21"/>
  <c r="D25" i="21"/>
  <c r="D24" i="21"/>
  <c r="D21" i="21"/>
  <c r="D20" i="21"/>
  <c r="D11" i="21"/>
  <c r="D10" i="21"/>
  <c r="D7" i="21"/>
  <c r="D6" i="21"/>
  <c r="D54" i="5"/>
  <c r="D50" i="5"/>
  <c r="D40" i="5"/>
  <c r="D36" i="5"/>
  <c r="D26" i="5"/>
  <c r="D22" i="5"/>
  <c r="D12" i="5"/>
  <c r="D8" i="5"/>
  <c r="F30" i="7"/>
  <c r="D44" i="6"/>
  <c r="D35" i="6"/>
  <c r="D8" i="6"/>
  <c r="D23" i="6" s="1"/>
  <c r="D33" i="3"/>
  <c r="D8" i="3"/>
  <c r="D11" i="3" s="1"/>
  <c r="D14" i="3" s="1"/>
  <c r="D18" i="3" s="1"/>
  <c r="D36" i="9"/>
  <c r="C30" i="7" s="1"/>
  <c r="D28" i="5" l="1"/>
  <c r="D12" i="21"/>
  <c r="D26" i="21"/>
  <c r="D56" i="5"/>
  <c r="D40" i="21"/>
  <c r="D54" i="21"/>
  <c r="D42" i="5"/>
  <c r="D8" i="21"/>
  <c r="D22" i="21"/>
  <c r="D28" i="21" s="1"/>
  <c r="D50" i="21"/>
  <c r="D36" i="21"/>
  <c r="D21" i="3"/>
  <c r="D34" i="3" s="1"/>
  <c r="D36" i="3" s="1"/>
  <c r="F29" i="4"/>
  <c r="F24" i="4"/>
  <c r="F42" i="4" s="1"/>
  <c r="F25" i="4"/>
  <c r="F26" i="4"/>
  <c r="D14" i="5"/>
  <c r="D46" i="6"/>
  <c r="D48" i="6" s="1"/>
  <c r="D56" i="21" l="1"/>
  <c r="D14" i="21"/>
  <c r="D42" i="4"/>
  <c r="F44" i="4"/>
  <c r="F46" i="4" s="1"/>
  <c r="D44" i="4"/>
  <c r="F47" i="4"/>
  <c r="D47" i="4"/>
  <c r="F43" i="4"/>
  <c r="D43" i="4"/>
  <c r="D42" i="21"/>
  <c r="F28" i="4"/>
  <c r="D46" i="4" s="1"/>
  <c r="D23" i="3"/>
  <c r="F30" i="4"/>
  <c r="D58" i="9"/>
  <c r="F37" i="4" s="1"/>
  <c r="D48" i="9"/>
  <c r="F36" i="4" s="1"/>
  <c r="D38" i="9"/>
  <c r="D40" i="9" s="1"/>
  <c r="F35" i="4" s="1"/>
  <c r="D30" i="9"/>
  <c r="F34" i="4" s="1"/>
  <c r="D17" i="9"/>
  <c r="F33" i="4" s="1"/>
  <c r="F48" i="22"/>
  <c r="F47" i="22"/>
  <c r="F45" i="22"/>
  <c r="F44" i="22"/>
  <c r="F43" i="22"/>
  <c r="F42" i="22"/>
  <c r="G37" i="22"/>
  <c r="G36" i="22"/>
  <c r="G35" i="22"/>
  <c r="G34" i="22"/>
  <c r="G33" i="22"/>
  <c r="G32" i="22"/>
  <c r="G30" i="22"/>
  <c r="G29" i="22"/>
  <c r="G27" i="22"/>
  <c r="G26" i="22"/>
  <c r="G25" i="22"/>
  <c r="G24" i="22"/>
  <c r="F48" i="4" l="1"/>
  <c r="D48" i="4"/>
  <c r="D59" i="9"/>
  <c r="D60" i="9" s="1"/>
  <c r="D31" i="9"/>
  <c r="F32" i="4" s="1"/>
  <c r="F46" i="22"/>
  <c r="H23" i="4" l="1"/>
  <c r="B5" i="4"/>
  <c r="C5" i="4" s="1"/>
  <c r="C9" i="4"/>
  <c r="E53" i="21"/>
  <c r="E52" i="21"/>
  <c r="E54" i="21" s="1"/>
  <c r="E49" i="21"/>
  <c r="E48" i="21"/>
  <c r="E39" i="21"/>
  <c r="E38" i="21"/>
  <c r="E40" i="21" s="1"/>
  <c r="E35" i="21"/>
  <c r="E34" i="21"/>
  <c r="E25" i="21"/>
  <c r="E24" i="21"/>
  <c r="E21" i="21"/>
  <c r="E20" i="21"/>
  <c r="E11" i="21"/>
  <c r="E10" i="21"/>
  <c r="E7" i="21"/>
  <c r="E6" i="21"/>
  <c r="E54" i="5"/>
  <c r="E50" i="5"/>
  <c r="E40" i="5"/>
  <c r="E36" i="5"/>
  <c r="E26" i="5"/>
  <c r="E22" i="5"/>
  <c r="E28" i="5" s="1"/>
  <c r="E12" i="5"/>
  <c r="E8" i="5"/>
  <c r="F29" i="7"/>
  <c r="E44" i="6"/>
  <c r="E35" i="6"/>
  <c r="E8" i="6"/>
  <c r="E23" i="6" s="1"/>
  <c r="E31" i="3"/>
  <c r="E33" i="3"/>
  <c r="E8" i="3"/>
  <c r="E11" i="3" s="1"/>
  <c r="E14" i="3" s="1"/>
  <c r="E18" i="3" s="1"/>
  <c r="E21" i="3" s="1"/>
  <c r="H30" i="4" s="1"/>
  <c r="E36" i="9"/>
  <c r="C29" i="7" s="1"/>
  <c r="B6" i="4" l="1"/>
  <c r="C6" i="4" s="1"/>
  <c r="B12" i="4"/>
  <c r="C12" i="4" s="1"/>
  <c r="H24" i="4"/>
  <c r="H29" i="4"/>
  <c r="E14" i="5"/>
  <c r="E42" i="5"/>
  <c r="E50" i="21"/>
  <c r="E56" i="21" s="1"/>
  <c r="B7" i="4"/>
  <c r="C7" i="4" s="1"/>
  <c r="B8" i="4"/>
  <c r="C8" i="4" s="1"/>
  <c r="H25" i="4"/>
  <c r="B11" i="4"/>
  <c r="C11" i="4" s="1"/>
  <c r="H26" i="4"/>
  <c r="H28" i="4" s="1"/>
  <c r="E36" i="21"/>
  <c r="E42" i="21" s="1"/>
  <c r="E8" i="21"/>
  <c r="E22" i="21"/>
  <c r="E12" i="21"/>
  <c r="E26" i="21"/>
  <c r="E56" i="5"/>
  <c r="E46" i="6"/>
  <c r="E34" i="3"/>
  <c r="E22" i="3"/>
  <c r="B10" i="4" l="1"/>
  <c r="E48" i="6"/>
  <c r="E14" i="21"/>
  <c r="E28" i="21"/>
  <c r="E35" i="3"/>
  <c r="E58" i="9" l="1"/>
  <c r="E48" i="9"/>
  <c r="E38" i="9"/>
  <c r="E40" i="9" s="1"/>
  <c r="E30" i="9"/>
  <c r="E17" i="9"/>
  <c r="H37" i="22"/>
  <c r="H36" i="22"/>
  <c r="H35" i="22"/>
  <c r="H34" i="22"/>
  <c r="H33" i="22"/>
  <c r="H32" i="22"/>
  <c r="H30" i="22"/>
  <c r="H29" i="22"/>
  <c r="H26" i="22"/>
  <c r="H27" i="22"/>
  <c r="H25" i="22"/>
  <c r="H24" i="22"/>
  <c r="H23" i="22"/>
  <c r="B17" i="4" l="1"/>
  <c r="C17" i="4" s="1"/>
  <c r="H35" i="4"/>
  <c r="B16" i="4"/>
  <c r="C16" i="4" s="1"/>
  <c r="H34" i="4"/>
  <c r="E59" i="9"/>
  <c r="E60" i="9" s="1"/>
  <c r="B18" i="4"/>
  <c r="C18" i="4" s="1"/>
  <c r="H36" i="4"/>
  <c r="H33" i="4"/>
  <c r="B15" i="4"/>
  <c r="C15" i="4" s="1"/>
  <c r="H37" i="4"/>
  <c r="B19" i="4"/>
  <c r="E31" i="9"/>
  <c r="H48" i="22"/>
  <c r="H47" i="22"/>
  <c r="H45" i="22"/>
  <c r="H44" i="22"/>
  <c r="H43" i="22"/>
  <c r="H42" i="22"/>
  <c r="H41" i="22"/>
  <c r="I37" i="22"/>
  <c r="I36" i="22"/>
  <c r="I35" i="22"/>
  <c r="I34" i="22"/>
  <c r="I33" i="22"/>
  <c r="I32" i="22"/>
  <c r="I30" i="22"/>
  <c r="I29" i="22"/>
  <c r="H28" i="22"/>
  <c r="I27" i="22"/>
  <c r="I26" i="22"/>
  <c r="I25" i="22"/>
  <c r="I24" i="22"/>
  <c r="I23" i="22"/>
  <c r="C19" i="22"/>
  <c r="C18" i="22"/>
  <c r="C17" i="22"/>
  <c r="C16" i="22"/>
  <c r="C15" i="22"/>
  <c r="C14" i="22"/>
  <c r="C12" i="22"/>
  <c r="C11" i="22"/>
  <c r="B10" i="22"/>
  <c r="C9" i="22"/>
  <c r="C8" i="22"/>
  <c r="C7" i="22"/>
  <c r="C6" i="22"/>
  <c r="C5" i="22"/>
  <c r="H32" i="4" l="1"/>
  <c r="B14" i="4"/>
  <c r="J27" i="4"/>
  <c r="J23" i="4"/>
  <c r="F53" i="21"/>
  <c r="F52" i="21"/>
  <c r="F49" i="21"/>
  <c r="F48" i="21"/>
  <c r="F39" i="21"/>
  <c r="F38" i="21"/>
  <c r="F35" i="21"/>
  <c r="F34" i="21"/>
  <c r="F25" i="21"/>
  <c r="F24" i="21"/>
  <c r="F21" i="21"/>
  <c r="F20" i="21"/>
  <c r="F11" i="21"/>
  <c r="F10" i="21"/>
  <c r="F7" i="21"/>
  <c r="F6" i="21"/>
  <c r="F54" i="5"/>
  <c r="F50" i="5"/>
  <c r="F40" i="5"/>
  <c r="F36" i="5"/>
  <c r="F26" i="5"/>
  <c r="F22" i="5"/>
  <c r="F12" i="5"/>
  <c r="F8" i="5"/>
  <c r="F28" i="7"/>
  <c r="C28" i="7"/>
  <c r="F44" i="6"/>
  <c r="F35" i="6"/>
  <c r="F8" i="6"/>
  <c r="F31" i="3"/>
  <c r="H41" i="4" l="1"/>
  <c r="C23" i="4"/>
  <c r="H45" i="4"/>
  <c r="C27" i="4"/>
  <c r="F23" i="6"/>
  <c r="F28" i="5"/>
  <c r="F40" i="21"/>
  <c r="F54" i="21"/>
  <c r="F42" i="5"/>
  <c r="F8" i="21"/>
  <c r="F22" i="21"/>
  <c r="F36" i="21"/>
  <c r="F50" i="21"/>
  <c r="J45" i="4"/>
  <c r="C45" i="4" s="1"/>
  <c r="F12" i="21"/>
  <c r="F14" i="21" s="1"/>
  <c r="F26" i="21"/>
  <c r="F56" i="5"/>
  <c r="F14" i="5"/>
  <c r="F56" i="21" l="1"/>
  <c r="F46" i="6"/>
  <c r="F42" i="21"/>
  <c r="F28" i="21"/>
  <c r="F48" i="6" l="1"/>
  <c r="F33" i="3"/>
  <c r="F8" i="3"/>
  <c r="F11" i="3" l="1"/>
  <c r="J24" i="4"/>
  <c r="H42" i="4" l="1"/>
  <c r="C24" i="4"/>
  <c r="F14" i="3"/>
  <c r="J25" i="4"/>
  <c r="F58" i="9"/>
  <c r="F48" i="9"/>
  <c r="F38" i="9"/>
  <c r="F40" i="9" s="1"/>
  <c r="J35" i="4" s="1"/>
  <c r="C35" i="4" s="1"/>
  <c r="F30" i="9"/>
  <c r="J34" i="4" s="1"/>
  <c r="C34" i="4" s="1"/>
  <c r="F17" i="9"/>
  <c r="J33" i="4" s="1"/>
  <c r="C33" i="4" s="1"/>
  <c r="H43" i="4" l="1"/>
  <c r="C25" i="4"/>
  <c r="F59" i="9"/>
  <c r="J37" i="4" s="1"/>
  <c r="C37" i="4" s="1"/>
  <c r="J36" i="4"/>
  <c r="C36" i="4" s="1"/>
  <c r="F18" i="3"/>
  <c r="J26" i="4"/>
  <c r="C26" i="4" s="1"/>
  <c r="F31" i="9"/>
  <c r="J32" i="4" s="1"/>
  <c r="C32" i="4" s="1"/>
  <c r="F60" i="9" l="1"/>
  <c r="H44" i="4"/>
  <c r="J28" i="4"/>
  <c r="F21" i="3"/>
  <c r="J29" i="4"/>
  <c r="J45" i="22"/>
  <c r="C45" i="22" s="1"/>
  <c r="J42" i="22"/>
  <c r="C42" i="22" s="1"/>
  <c r="H46" i="4" l="1"/>
  <c r="C28" i="4"/>
  <c r="H47" i="4"/>
  <c r="C29" i="4"/>
  <c r="J30" i="4"/>
  <c r="F34" i="3"/>
  <c r="F23" i="3"/>
  <c r="J28" i="22"/>
  <c r="T48" i="22"/>
  <c r="N48" i="22"/>
  <c r="G48" i="22" s="1"/>
  <c r="T47" i="22"/>
  <c r="N47" i="22"/>
  <c r="G47" i="22" s="1"/>
  <c r="AI46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5" i="22"/>
  <c r="U45" i="22"/>
  <c r="T45" i="22"/>
  <c r="N45" i="22"/>
  <c r="G45" i="22" s="1"/>
  <c r="L45" i="22"/>
  <c r="E45" i="22" s="1"/>
  <c r="T44" i="22"/>
  <c r="N44" i="22"/>
  <c r="G44" i="22" s="1"/>
  <c r="T43" i="22"/>
  <c r="N43" i="22"/>
  <c r="G43" i="22" s="1"/>
  <c r="T42" i="22"/>
  <c r="N42" i="22"/>
  <c r="G42" i="22" s="1"/>
  <c r="T41" i="22"/>
  <c r="N41" i="22"/>
  <c r="G41" i="22" s="1"/>
  <c r="V37" i="22"/>
  <c r="U37" i="22"/>
  <c r="T37" i="22"/>
  <c r="S37" i="22"/>
  <c r="R37" i="22"/>
  <c r="Q37" i="22"/>
  <c r="L37" i="22"/>
  <c r="E37" i="22" s="1"/>
  <c r="V36" i="22"/>
  <c r="U36" i="22"/>
  <c r="T36" i="22"/>
  <c r="S36" i="22"/>
  <c r="R36" i="22"/>
  <c r="Q36" i="22"/>
  <c r="L36" i="22"/>
  <c r="E36" i="22" s="1"/>
  <c r="V35" i="22"/>
  <c r="U35" i="22"/>
  <c r="T35" i="22"/>
  <c r="S35" i="22"/>
  <c r="O35" i="22" s="1"/>
  <c r="R35" i="22"/>
  <c r="Q35" i="22"/>
  <c r="L35" i="22"/>
  <c r="E35" i="22" s="1"/>
  <c r="V34" i="22"/>
  <c r="U34" i="22"/>
  <c r="T34" i="22"/>
  <c r="S34" i="22"/>
  <c r="O34" i="22" s="1"/>
  <c r="R34" i="22"/>
  <c r="Q34" i="22"/>
  <c r="K34" i="22" s="1"/>
  <c r="L34" i="22"/>
  <c r="E34" i="22" s="1"/>
  <c r="V33" i="22"/>
  <c r="U33" i="22"/>
  <c r="T33" i="22"/>
  <c r="S33" i="22"/>
  <c r="R33" i="22"/>
  <c r="Q33" i="22"/>
  <c r="L33" i="22"/>
  <c r="E33" i="22" s="1"/>
  <c r="V32" i="22"/>
  <c r="U32" i="22"/>
  <c r="T32" i="22"/>
  <c r="S32" i="22"/>
  <c r="R32" i="22"/>
  <c r="Q32" i="22"/>
  <c r="L32" i="22"/>
  <c r="E32" i="22" s="1"/>
  <c r="V30" i="22"/>
  <c r="V48" i="22" s="1"/>
  <c r="U30" i="22"/>
  <c r="T30" i="22"/>
  <c r="S30" i="22"/>
  <c r="S48" i="22" s="1"/>
  <c r="R30" i="22"/>
  <c r="Q30" i="22"/>
  <c r="L30" i="22"/>
  <c r="E30" i="22" s="1"/>
  <c r="V29" i="22"/>
  <c r="V47" i="22" s="1"/>
  <c r="U29" i="22"/>
  <c r="T29" i="22"/>
  <c r="S29" i="22"/>
  <c r="O29" i="22" s="1"/>
  <c r="R29" i="22"/>
  <c r="Q29" i="22"/>
  <c r="L29" i="22"/>
  <c r="E29" i="22" s="1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P28" i="22"/>
  <c r="I28" i="22" s="1"/>
  <c r="N28" i="22"/>
  <c r="G28" i="22" s="1"/>
  <c r="S27" i="22"/>
  <c r="O27" i="22" s="1"/>
  <c r="R27" i="22"/>
  <c r="Q27" i="22"/>
  <c r="V26" i="22"/>
  <c r="V28" i="22" s="1"/>
  <c r="U26" i="22"/>
  <c r="U28" i="22" s="1"/>
  <c r="T26" i="22"/>
  <c r="T28" i="22" s="1"/>
  <c r="S26" i="22"/>
  <c r="R26" i="22"/>
  <c r="Q26" i="22"/>
  <c r="L26" i="22"/>
  <c r="E26" i="22" s="1"/>
  <c r="V25" i="22"/>
  <c r="V43" i="22" s="1"/>
  <c r="U25" i="22"/>
  <c r="T25" i="22"/>
  <c r="S25" i="22"/>
  <c r="S43" i="22" s="1"/>
  <c r="Q25" i="22"/>
  <c r="L25" i="22"/>
  <c r="E25" i="22" s="1"/>
  <c r="V24" i="22"/>
  <c r="V42" i="22" s="1"/>
  <c r="U24" i="22"/>
  <c r="T24" i="22"/>
  <c r="S24" i="22"/>
  <c r="R42" i="22" s="1"/>
  <c r="Q24" i="22"/>
  <c r="L42" i="22"/>
  <c r="E42" i="22" s="1"/>
  <c r="V23" i="22"/>
  <c r="V41" i="22" s="1"/>
  <c r="U23" i="22"/>
  <c r="T23" i="22"/>
  <c r="S23" i="22"/>
  <c r="R41" i="22" s="1"/>
  <c r="Q23" i="22"/>
  <c r="L23" i="22"/>
  <c r="E23" i="22" s="1"/>
  <c r="K19" i="22"/>
  <c r="I19" i="22"/>
  <c r="G19" i="22"/>
  <c r="E19" i="22"/>
  <c r="K18" i="22"/>
  <c r="I18" i="22"/>
  <c r="G18" i="22"/>
  <c r="E18" i="22"/>
  <c r="K17" i="22"/>
  <c r="I17" i="22"/>
  <c r="G17" i="22"/>
  <c r="E17" i="22"/>
  <c r="K16" i="22"/>
  <c r="I16" i="22"/>
  <c r="G16" i="22"/>
  <c r="E16" i="22"/>
  <c r="K15" i="22"/>
  <c r="I15" i="22"/>
  <c r="G15" i="22"/>
  <c r="E15" i="22"/>
  <c r="K14" i="22"/>
  <c r="I14" i="22"/>
  <c r="G14" i="22"/>
  <c r="E14" i="22"/>
  <c r="K12" i="22"/>
  <c r="I12" i="22"/>
  <c r="G12" i="22"/>
  <c r="E12" i="22"/>
  <c r="K11" i="22"/>
  <c r="I11" i="22"/>
  <c r="G11" i="22"/>
  <c r="E11" i="22"/>
  <c r="K10" i="22"/>
  <c r="H10" i="22"/>
  <c r="I10" i="22" s="1"/>
  <c r="F10" i="22"/>
  <c r="D10" i="22"/>
  <c r="C10" i="22" s="1"/>
  <c r="K9" i="22"/>
  <c r="I9" i="22"/>
  <c r="G9" i="22"/>
  <c r="E9" i="22"/>
  <c r="K8" i="22"/>
  <c r="I8" i="22"/>
  <c r="G8" i="22"/>
  <c r="E8" i="22"/>
  <c r="K7" i="22"/>
  <c r="I7" i="22"/>
  <c r="G7" i="22"/>
  <c r="E7" i="22"/>
  <c r="K6" i="22"/>
  <c r="I6" i="22"/>
  <c r="G6" i="22"/>
  <c r="E6" i="22"/>
  <c r="K5" i="22"/>
  <c r="I5" i="22"/>
  <c r="G5" i="22"/>
  <c r="E5" i="22"/>
  <c r="H48" i="4" l="1"/>
  <c r="C30" i="4"/>
  <c r="K30" i="22"/>
  <c r="H46" i="22"/>
  <c r="C28" i="22"/>
  <c r="L41" i="22"/>
  <c r="E41" i="22" s="1"/>
  <c r="F36" i="3"/>
  <c r="L28" i="22"/>
  <c r="E28" i="22" s="1"/>
  <c r="J44" i="22"/>
  <c r="C44" i="22" s="1"/>
  <c r="K33" i="22"/>
  <c r="P42" i="22"/>
  <c r="I42" i="22" s="1"/>
  <c r="K24" i="22"/>
  <c r="P44" i="22"/>
  <c r="K26" i="22"/>
  <c r="L48" i="22"/>
  <c r="E48" i="22" s="1"/>
  <c r="J48" i="22"/>
  <c r="C48" i="22" s="1"/>
  <c r="K32" i="22"/>
  <c r="K36" i="22"/>
  <c r="P45" i="22"/>
  <c r="K27" i="22"/>
  <c r="J41" i="22"/>
  <c r="L43" i="22"/>
  <c r="E43" i="22" s="1"/>
  <c r="J43" i="22"/>
  <c r="C43" i="22" s="1"/>
  <c r="L47" i="22"/>
  <c r="E47" i="22" s="1"/>
  <c r="J47" i="22"/>
  <c r="C47" i="22" s="1"/>
  <c r="K35" i="22"/>
  <c r="K37" i="22"/>
  <c r="P41" i="22"/>
  <c r="K23" i="22"/>
  <c r="Q43" i="22"/>
  <c r="K25" i="22"/>
  <c r="P47" i="22"/>
  <c r="K29" i="22"/>
  <c r="M30" i="22"/>
  <c r="E10" i="22"/>
  <c r="O33" i="22"/>
  <c r="M42" i="22"/>
  <c r="M36" i="22"/>
  <c r="O32" i="22"/>
  <c r="M34" i="22"/>
  <c r="M23" i="22"/>
  <c r="M25" i="22"/>
  <c r="M32" i="22"/>
  <c r="O37" i="22"/>
  <c r="U41" i="22"/>
  <c r="O24" i="22"/>
  <c r="O25" i="22"/>
  <c r="U43" i="22"/>
  <c r="S28" i="22"/>
  <c r="R45" i="22"/>
  <c r="M45" i="22" s="1"/>
  <c r="N46" i="22"/>
  <c r="G46" i="22" s="1"/>
  <c r="O23" i="22"/>
  <c r="M24" i="22"/>
  <c r="M33" i="22"/>
  <c r="M37" i="22"/>
  <c r="U42" i="22"/>
  <c r="T46" i="22"/>
  <c r="G10" i="22"/>
  <c r="Q44" i="22"/>
  <c r="R47" i="22"/>
  <c r="M35" i="22"/>
  <c r="O36" i="22"/>
  <c r="Q42" i="22"/>
  <c r="K42" i="22" s="1"/>
  <c r="L44" i="22"/>
  <c r="E44" i="22" s="1"/>
  <c r="V44" i="22"/>
  <c r="V46" i="22" s="1"/>
  <c r="Q47" i="22"/>
  <c r="M26" i="22"/>
  <c r="Q48" i="22"/>
  <c r="U48" i="22"/>
  <c r="S42" i="22"/>
  <c r="M41" i="22"/>
  <c r="O43" i="22"/>
  <c r="O48" i="22"/>
  <c r="R44" i="22"/>
  <c r="U47" i="22"/>
  <c r="M27" i="22"/>
  <c r="Q41" i="22"/>
  <c r="S41" i="22"/>
  <c r="P43" i="22"/>
  <c r="R43" i="22"/>
  <c r="Q45" i="22"/>
  <c r="S45" i="22"/>
  <c r="P48" i="22"/>
  <c r="R48" i="22"/>
  <c r="Q28" i="22"/>
  <c r="S47" i="22"/>
  <c r="R28" i="22"/>
  <c r="M29" i="22"/>
  <c r="S44" i="22"/>
  <c r="U44" i="22"/>
  <c r="O26" i="22"/>
  <c r="O30" i="22"/>
  <c r="M47" i="22" l="1"/>
  <c r="L46" i="22"/>
  <c r="E46" i="22" s="1"/>
  <c r="K41" i="22"/>
  <c r="C41" i="22"/>
  <c r="I48" i="22"/>
  <c r="I43" i="22"/>
  <c r="I47" i="22"/>
  <c r="I41" i="22"/>
  <c r="I45" i="22"/>
  <c r="I44" i="22"/>
  <c r="K48" i="22"/>
  <c r="K47" i="22"/>
  <c r="K45" i="22"/>
  <c r="K44" i="22"/>
  <c r="J46" i="22"/>
  <c r="C46" i="22" s="1"/>
  <c r="K43" i="22"/>
  <c r="K28" i="22"/>
  <c r="R46" i="22"/>
  <c r="O28" i="22"/>
  <c r="Q46" i="22"/>
  <c r="P46" i="22"/>
  <c r="O42" i="22"/>
  <c r="M48" i="22"/>
  <c r="M28" i="22"/>
  <c r="O41" i="22"/>
  <c r="S46" i="22"/>
  <c r="M43" i="22"/>
  <c r="O47" i="22"/>
  <c r="O44" i="22"/>
  <c r="U46" i="22"/>
  <c r="M44" i="22"/>
  <c r="O45" i="22"/>
  <c r="I46" i="22" l="1"/>
  <c r="K46" i="22"/>
  <c r="M46" i="22"/>
  <c r="O46" i="22"/>
  <c r="L23" i="4" l="1"/>
  <c r="E23" i="4" s="1"/>
  <c r="G53" i="21"/>
  <c r="G52" i="21"/>
  <c r="G49" i="21"/>
  <c r="G48" i="21"/>
  <c r="G39" i="21"/>
  <c r="G38" i="21"/>
  <c r="G35" i="21"/>
  <c r="G34" i="21"/>
  <c r="G25" i="21"/>
  <c r="G24" i="21"/>
  <c r="G21" i="21"/>
  <c r="G20" i="21"/>
  <c r="G11" i="21"/>
  <c r="G10" i="21"/>
  <c r="G7" i="21"/>
  <c r="G6" i="21"/>
  <c r="G54" i="5"/>
  <c r="G50" i="5"/>
  <c r="G40" i="5"/>
  <c r="G36" i="5"/>
  <c r="G26" i="5"/>
  <c r="G22" i="5"/>
  <c r="G12" i="5"/>
  <c r="G8" i="5"/>
  <c r="J41" i="4" l="1"/>
  <c r="C41" i="4" s="1"/>
  <c r="G12" i="21"/>
  <c r="G26" i="21"/>
  <c r="G40" i="21"/>
  <c r="G54" i="21"/>
  <c r="G8" i="21"/>
  <c r="G14" i="21" s="1"/>
  <c r="G22" i="21"/>
  <c r="G36" i="21"/>
  <c r="G42" i="21" s="1"/>
  <c r="G50" i="21"/>
  <c r="G56" i="5"/>
  <c r="G42" i="5"/>
  <c r="G28" i="5"/>
  <c r="G14" i="5"/>
  <c r="G56" i="21" l="1"/>
  <c r="G28" i="21"/>
  <c r="F27" i="7"/>
  <c r="F26" i="7"/>
  <c r="G44" i="6"/>
  <c r="G35" i="6"/>
  <c r="G8" i="6"/>
  <c r="G31" i="3"/>
  <c r="G8" i="3"/>
  <c r="G33" i="3" l="1"/>
  <c r="G11" i="3"/>
  <c r="L25" i="4" s="1"/>
  <c r="L24" i="4"/>
  <c r="G23" i="6"/>
  <c r="G36" i="9"/>
  <c r="C27" i="7" s="1"/>
  <c r="J42" i="4" l="1"/>
  <c r="C42" i="4" s="1"/>
  <c r="E24" i="4"/>
  <c r="J43" i="4"/>
  <c r="C43" i="4" s="1"/>
  <c r="E25" i="4"/>
  <c r="G14" i="3"/>
  <c r="L26" i="4" s="1"/>
  <c r="E26" i="4" s="1"/>
  <c r="G46" i="6"/>
  <c r="G18" i="3" l="1"/>
  <c r="L29" i="4" s="1"/>
  <c r="J47" i="4" s="1"/>
  <c r="C47" i="4" s="1"/>
  <c r="L28" i="4"/>
  <c r="E28" i="4" s="1"/>
  <c r="J44" i="4"/>
  <c r="C44" i="4" s="1"/>
  <c r="G48" i="6"/>
  <c r="G21" i="3"/>
  <c r="L30" i="4" s="1"/>
  <c r="E29" i="4" l="1"/>
  <c r="J48" i="4"/>
  <c r="C48" i="4" s="1"/>
  <c r="E30" i="4"/>
  <c r="J46" i="4"/>
  <c r="C46" i="4" s="1"/>
  <c r="G34" i="3"/>
  <c r="G22" i="3"/>
  <c r="G35" i="3" l="1"/>
  <c r="G58" i="9" l="1"/>
  <c r="L37" i="4" s="1"/>
  <c r="E37" i="4" s="1"/>
  <c r="G48" i="9"/>
  <c r="L36" i="4" s="1"/>
  <c r="E36" i="4" s="1"/>
  <c r="G38" i="9"/>
  <c r="G40" i="9" s="1"/>
  <c r="L35" i="4" s="1"/>
  <c r="E35" i="4" s="1"/>
  <c r="G30" i="9"/>
  <c r="L34" i="4" s="1"/>
  <c r="E34" i="4" s="1"/>
  <c r="G17" i="9"/>
  <c r="L33" i="4" s="1"/>
  <c r="E33" i="4" s="1"/>
  <c r="G31" i="9" l="1"/>
  <c r="L32" i="4" s="1"/>
  <c r="E32" i="4" s="1"/>
  <c r="G59" i="9"/>
  <c r="G60" i="9" s="1"/>
  <c r="N27" i="4"/>
  <c r="G27" i="4" s="1"/>
  <c r="N23" i="4"/>
  <c r="H53" i="21"/>
  <c r="H52" i="21"/>
  <c r="H49" i="21"/>
  <c r="H48" i="21"/>
  <c r="H39" i="21"/>
  <c r="H38" i="21"/>
  <c r="H35" i="21"/>
  <c r="H34" i="21"/>
  <c r="H25" i="21"/>
  <c r="H24" i="21"/>
  <c r="H21" i="21"/>
  <c r="H20" i="21"/>
  <c r="H11" i="21"/>
  <c r="H10" i="21"/>
  <c r="H7" i="21"/>
  <c r="H6" i="21"/>
  <c r="H54" i="5"/>
  <c r="H50" i="5"/>
  <c r="H40" i="5"/>
  <c r="H36" i="5"/>
  <c r="H26" i="5"/>
  <c r="H22" i="5"/>
  <c r="H12" i="5"/>
  <c r="H8" i="5"/>
  <c r="G23" i="4" l="1"/>
  <c r="L41" i="4"/>
  <c r="E41" i="4" s="1"/>
  <c r="H8" i="21"/>
  <c r="H22" i="21"/>
  <c r="H36" i="21"/>
  <c r="H50" i="21"/>
  <c r="N41" i="4"/>
  <c r="G41" i="4" s="1"/>
  <c r="N45" i="4"/>
  <c r="G45" i="4" s="1"/>
  <c r="L45" i="4"/>
  <c r="E45" i="4" s="1"/>
  <c r="H12" i="21"/>
  <c r="H26" i="21"/>
  <c r="H40" i="21"/>
  <c r="H54" i="21"/>
  <c r="H42" i="5"/>
  <c r="H56" i="5"/>
  <c r="H28" i="5"/>
  <c r="H14" i="5"/>
  <c r="H42" i="21" l="1"/>
  <c r="H14" i="21"/>
  <c r="H28" i="21"/>
  <c r="H56" i="21"/>
  <c r="H44" i="6"/>
  <c r="H35" i="6"/>
  <c r="H8" i="6"/>
  <c r="H33" i="3"/>
  <c r="H8" i="3"/>
  <c r="H23" i="6" l="1"/>
  <c r="H46" i="6" s="1"/>
  <c r="H11" i="3"/>
  <c r="N24" i="4"/>
  <c r="G24" i="4" s="1"/>
  <c r="H48" i="6" l="1"/>
  <c r="H14" i="3"/>
  <c r="N25" i="4"/>
  <c r="G25" i="4" s="1"/>
  <c r="N42" i="4"/>
  <c r="G42" i="4" s="1"/>
  <c r="L42" i="4"/>
  <c r="E42" i="4" s="1"/>
  <c r="H18" i="3" l="1"/>
  <c r="N26" i="4"/>
  <c r="G26" i="4" s="1"/>
  <c r="N43" i="4"/>
  <c r="G43" i="4" s="1"/>
  <c r="L43" i="4"/>
  <c r="E43" i="4" s="1"/>
  <c r="H36" i="9"/>
  <c r="C26" i="7" s="1"/>
  <c r="N44" i="4" l="1"/>
  <c r="L44" i="4"/>
  <c r="E44" i="4" s="1"/>
  <c r="N28" i="4"/>
  <c r="H21" i="3"/>
  <c r="N29" i="4"/>
  <c r="G29" i="4" s="1"/>
  <c r="H58" i="9"/>
  <c r="N37" i="4" s="1"/>
  <c r="G37" i="4" s="1"/>
  <c r="H48" i="9"/>
  <c r="N36" i="4" s="1"/>
  <c r="G36" i="4" s="1"/>
  <c r="H38" i="9"/>
  <c r="H40" i="9" s="1"/>
  <c r="N35" i="4" s="1"/>
  <c r="G35" i="4" s="1"/>
  <c r="H30" i="9"/>
  <c r="N34" i="4" s="1"/>
  <c r="G34" i="4" s="1"/>
  <c r="H17" i="9"/>
  <c r="N33" i="4" s="1"/>
  <c r="G33" i="4" s="1"/>
  <c r="N46" i="4" l="1"/>
  <c r="G46" i="4" s="1"/>
  <c r="G44" i="4"/>
  <c r="L46" i="4"/>
  <c r="E46" i="4" s="1"/>
  <c r="G28" i="4"/>
  <c r="N47" i="4"/>
  <c r="G47" i="4" s="1"/>
  <c r="L47" i="4"/>
  <c r="E47" i="4" s="1"/>
  <c r="N30" i="4"/>
  <c r="G30" i="4" s="1"/>
  <c r="H34" i="3"/>
  <c r="H23" i="3"/>
  <c r="H59" i="9"/>
  <c r="H60" i="9" s="1"/>
  <c r="H31" i="9"/>
  <c r="N32" i="4" s="1"/>
  <c r="G32" i="4" s="1"/>
  <c r="P36" i="4"/>
  <c r="I36" i="4" s="1"/>
  <c r="P35" i="4"/>
  <c r="I35" i="4" s="1"/>
  <c r="P34" i="4"/>
  <c r="I34" i="4" s="1"/>
  <c r="P33" i="4"/>
  <c r="I33" i="4" s="1"/>
  <c r="P30" i="4"/>
  <c r="I30" i="4" s="1"/>
  <c r="P29" i="4"/>
  <c r="I29" i="4" s="1"/>
  <c r="P27" i="4"/>
  <c r="I27" i="4" s="1"/>
  <c r="P26" i="4"/>
  <c r="I26" i="4" s="1"/>
  <c r="P25" i="4"/>
  <c r="I25" i="4" s="1"/>
  <c r="P24" i="4"/>
  <c r="I24" i="4" s="1"/>
  <c r="P23" i="4"/>
  <c r="I23" i="4" s="1"/>
  <c r="D14" i="4"/>
  <c r="D10" i="4"/>
  <c r="C10" i="4" s="1"/>
  <c r="E18" i="4"/>
  <c r="E17" i="4"/>
  <c r="E16" i="4"/>
  <c r="E15" i="4"/>
  <c r="E12" i="4"/>
  <c r="E11" i="4"/>
  <c r="E9" i="4"/>
  <c r="E8" i="4"/>
  <c r="E6" i="4"/>
  <c r="E5" i="4"/>
  <c r="D19" i="4" l="1"/>
  <c r="C14" i="4"/>
  <c r="P32" i="4"/>
  <c r="H36" i="3"/>
  <c r="N48" i="4"/>
  <c r="G48" i="4" s="1"/>
  <c r="L48" i="4"/>
  <c r="E48" i="4" s="1"/>
  <c r="E14" i="4"/>
  <c r="P28" i="4"/>
  <c r="I28" i="4" s="1"/>
  <c r="P37" i="4" l="1"/>
  <c r="I37" i="4" s="1"/>
  <c r="I32" i="4"/>
  <c r="E19" i="4"/>
  <c r="C19" i="4"/>
  <c r="I53" i="21"/>
  <c r="I49" i="21"/>
  <c r="I25" i="21"/>
  <c r="I24" i="21"/>
  <c r="I21" i="21"/>
  <c r="I20" i="21"/>
  <c r="I11" i="21"/>
  <c r="I10" i="21"/>
  <c r="I7" i="21"/>
  <c r="I6" i="21"/>
  <c r="I52" i="5"/>
  <c r="I48" i="5"/>
  <c r="I38" i="5"/>
  <c r="I39" i="5"/>
  <c r="I35" i="5"/>
  <c r="I34" i="5"/>
  <c r="I8" i="21" l="1"/>
  <c r="I22" i="21"/>
  <c r="I12" i="21"/>
  <c r="I26" i="21"/>
  <c r="I54" i="5"/>
  <c r="I50" i="5"/>
  <c r="I40" i="5"/>
  <c r="I36" i="5"/>
  <c r="I26" i="5"/>
  <c r="I22" i="5"/>
  <c r="I12" i="5"/>
  <c r="I8" i="5"/>
  <c r="D25" i="7"/>
  <c r="D26" i="7" l="1"/>
  <c r="E26" i="7" s="1"/>
  <c r="G26" i="7" s="1"/>
  <c r="I28" i="21"/>
  <c r="I14" i="21"/>
  <c r="I56" i="5"/>
  <c r="I42" i="5"/>
  <c r="I28" i="5"/>
  <c r="I14" i="5"/>
  <c r="E25" i="7" l="1"/>
  <c r="G25" i="7" l="1"/>
  <c r="I49" i="6"/>
  <c r="I44" i="6"/>
  <c r="I35" i="6"/>
  <c r="I8" i="6"/>
  <c r="I8" i="3"/>
  <c r="I33" i="3"/>
  <c r="I36" i="9"/>
  <c r="I11" i="3" l="1"/>
  <c r="I14" i="3" s="1"/>
  <c r="I18" i="3" s="1"/>
  <c r="I21" i="3" s="1"/>
  <c r="I23" i="6"/>
  <c r="D27" i="7" l="1"/>
  <c r="E27" i="7" s="1"/>
  <c r="D28" i="7"/>
  <c r="E28" i="7" s="1"/>
  <c r="E29" i="7" s="1"/>
  <c r="D29" i="7" s="1"/>
  <c r="I34" i="3"/>
  <c r="I35" i="3" s="1"/>
  <c r="I22" i="3"/>
  <c r="I46" i="6"/>
  <c r="D30" i="7" l="1"/>
  <c r="G28" i="7"/>
  <c r="G27" i="7"/>
  <c r="I48" i="6"/>
  <c r="G32" i="7" l="1"/>
  <c r="E30" i="7"/>
  <c r="I50" i="6"/>
  <c r="H49" i="6" s="1"/>
  <c r="E49" i="6" s="1"/>
  <c r="E50" i="6" s="1"/>
  <c r="D49" i="6" l="1"/>
  <c r="D50" i="6" s="1"/>
  <c r="C49" i="6"/>
  <c r="G30" i="7"/>
  <c r="G29" i="7"/>
  <c r="H50" i="6"/>
  <c r="G49" i="6"/>
  <c r="I58" i="9"/>
  <c r="I48" i="9"/>
  <c r="I38" i="9"/>
  <c r="I40" i="9" s="1"/>
  <c r="I30" i="9"/>
  <c r="I17" i="9"/>
  <c r="C50" i="6" l="1"/>
  <c r="G50" i="6"/>
  <c r="F49" i="6"/>
  <c r="F50" i="6" s="1"/>
  <c r="I59" i="9"/>
  <c r="I60" i="9" s="1"/>
  <c r="I31" i="9"/>
  <c r="Q27" i="4"/>
  <c r="Q23" i="4"/>
  <c r="J53" i="21"/>
  <c r="J49" i="21"/>
  <c r="J25" i="21"/>
  <c r="J24" i="21"/>
  <c r="J21" i="21"/>
  <c r="J20" i="21"/>
  <c r="J11" i="21"/>
  <c r="J10" i="21"/>
  <c r="J7" i="21"/>
  <c r="J6" i="21"/>
  <c r="J52" i="5"/>
  <c r="I52" i="21" s="1"/>
  <c r="I54" i="21" s="1"/>
  <c r="J48" i="5"/>
  <c r="I48" i="21" s="1"/>
  <c r="I50" i="21" s="1"/>
  <c r="J38" i="5"/>
  <c r="I38" i="21" s="1"/>
  <c r="J39" i="5"/>
  <c r="I39" i="21" s="1"/>
  <c r="J35" i="5"/>
  <c r="I35" i="21" s="1"/>
  <c r="J34" i="5"/>
  <c r="J26" i="5"/>
  <c r="J22" i="5"/>
  <c r="J12" i="5"/>
  <c r="J8" i="5"/>
  <c r="D24" i="7"/>
  <c r="P41" i="4" l="1"/>
  <c r="I41" i="4" s="1"/>
  <c r="K23" i="4"/>
  <c r="P45" i="4"/>
  <c r="I45" i="4" s="1"/>
  <c r="K27" i="4"/>
  <c r="J8" i="21"/>
  <c r="J14" i="5"/>
  <c r="J50" i="5"/>
  <c r="J22" i="21"/>
  <c r="J48" i="21"/>
  <c r="J50" i="21" s="1"/>
  <c r="J54" i="5"/>
  <c r="I40" i="21"/>
  <c r="I56" i="21"/>
  <c r="J36" i="5"/>
  <c r="I34" i="21"/>
  <c r="I36" i="21" s="1"/>
  <c r="J34" i="21"/>
  <c r="J35" i="21"/>
  <c r="J38" i="21"/>
  <c r="J52" i="21"/>
  <c r="J54" i="21" s="1"/>
  <c r="J39" i="21"/>
  <c r="J12" i="21"/>
  <c r="J26" i="21"/>
  <c r="J40" i="5"/>
  <c r="J28" i="5"/>
  <c r="J42" i="5" l="1"/>
  <c r="J56" i="5"/>
  <c r="J14" i="21"/>
  <c r="J40" i="21"/>
  <c r="J56" i="21"/>
  <c r="J28" i="21"/>
  <c r="I42" i="21"/>
  <c r="J36" i="21"/>
  <c r="E24" i="7"/>
  <c r="F24" i="7"/>
  <c r="C24" i="7"/>
  <c r="B24" i="7"/>
  <c r="J42" i="21" l="1"/>
  <c r="G24" i="7"/>
  <c r="J44" i="6" l="1"/>
  <c r="J35" i="6"/>
  <c r="J8" i="6"/>
  <c r="J33" i="3" l="1"/>
  <c r="J8" i="3"/>
  <c r="J11" i="3" l="1"/>
  <c r="Q24" i="4"/>
  <c r="P42" i="4" l="1"/>
  <c r="I42" i="4" s="1"/>
  <c r="K24" i="4"/>
  <c r="J14" i="3"/>
  <c r="Q25" i="4"/>
  <c r="J58" i="9"/>
  <c r="Q37" i="4" s="1"/>
  <c r="K37" i="4" s="1"/>
  <c r="J48" i="9"/>
  <c r="Q36" i="4" s="1"/>
  <c r="K36" i="4" s="1"/>
  <c r="J38" i="9"/>
  <c r="J40" i="9" s="1"/>
  <c r="Q35" i="4" s="1"/>
  <c r="K35" i="4" s="1"/>
  <c r="J30" i="9"/>
  <c r="Q34" i="4" s="1"/>
  <c r="K34" i="4" s="1"/>
  <c r="J17" i="9"/>
  <c r="Q33" i="4" s="1"/>
  <c r="K33" i="4" s="1"/>
  <c r="P43" i="4" l="1"/>
  <c r="I43" i="4" s="1"/>
  <c r="K25" i="4"/>
  <c r="J18" i="3"/>
  <c r="Q26" i="4"/>
  <c r="K26" i="4" s="1"/>
  <c r="J59" i="9"/>
  <c r="J60" i="9" s="1"/>
  <c r="J31" i="9"/>
  <c r="Q32" i="4" s="1"/>
  <c r="K32" i="4" s="1"/>
  <c r="R27" i="4"/>
  <c r="R23" i="4"/>
  <c r="K53" i="21"/>
  <c r="K52" i="21"/>
  <c r="K49" i="21"/>
  <c r="K48" i="21"/>
  <c r="K39" i="21"/>
  <c r="K38" i="21"/>
  <c r="K35" i="21"/>
  <c r="K34" i="21"/>
  <c r="K25" i="21"/>
  <c r="K24" i="21"/>
  <c r="K21" i="21"/>
  <c r="K20" i="21"/>
  <c r="K11" i="21"/>
  <c r="K10" i="21"/>
  <c r="K7" i="21"/>
  <c r="K6" i="21"/>
  <c r="K54" i="5"/>
  <c r="K50" i="5"/>
  <c r="K40" i="5"/>
  <c r="K36" i="5"/>
  <c r="K26" i="5"/>
  <c r="K22" i="5"/>
  <c r="K12" i="5"/>
  <c r="K8" i="5"/>
  <c r="K49" i="6"/>
  <c r="J49" i="6" s="1"/>
  <c r="K9" i="6"/>
  <c r="K44" i="6"/>
  <c r="K35" i="6"/>
  <c r="E23" i="7"/>
  <c r="C23" i="7"/>
  <c r="F23" i="7"/>
  <c r="K33" i="3"/>
  <c r="K8" i="3"/>
  <c r="K11" i="3" s="1"/>
  <c r="K14" i="3" s="1"/>
  <c r="K18" i="3" s="1"/>
  <c r="K21" i="3" s="1"/>
  <c r="K7" i="6" l="1"/>
  <c r="R24" i="4"/>
  <c r="R29" i="4"/>
  <c r="P44" i="4"/>
  <c r="I44" i="4" s="1"/>
  <c r="Q28" i="4"/>
  <c r="Q45" i="4"/>
  <c r="K45" i="4" s="1"/>
  <c r="M27" i="4"/>
  <c r="R25" i="4"/>
  <c r="R30" i="4"/>
  <c r="Q41" i="4"/>
  <c r="K41" i="4" s="1"/>
  <c r="M23" i="4"/>
  <c r="R26" i="4"/>
  <c r="R28" i="4" s="1"/>
  <c r="M28" i="4" s="1"/>
  <c r="J21" i="3"/>
  <c r="Q29" i="4"/>
  <c r="J7" i="6"/>
  <c r="K8" i="21"/>
  <c r="K22" i="21"/>
  <c r="K12" i="21"/>
  <c r="K26" i="21"/>
  <c r="K40" i="21"/>
  <c r="K54" i="21"/>
  <c r="K36" i="21"/>
  <c r="K50" i="21"/>
  <c r="K8" i="6"/>
  <c r="K56" i="5"/>
  <c r="K42" i="5"/>
  <c r="K28" i="5"/>
  <c r="K14" i="5"/>
  <c r="G23" i="7"/>
  <c r="K34" i="3"/>
  <c r="K22" i="3"/>
  <c r="K23" i="6" l="1"/>
  <c r="K46" i="6" s="1"/>
  <c r="K48" i="6" s="1"/>
  <c r="K50" i="6" s="1"/>
  <c r="P47" i="4"/>
  <c r="I47" i="4" s="1"/>
  <c r="K29" i="4"/>
  <c r="P46" i="4"/>
  <c r="I46" i="4" s="1"/>
  <c r="K28" i="4"/>
  <c r="Q30" i="4"/>
  <c r="J23" i="3"/>
  <c r="J34" i="3"/>
  <c r="J23" i="6"/>
  <c r="Q44" i="4"/>
  <c r="M26" i="4"/>
  <c r="Q47" i="4"/>
  <c r="K47" i="4" s="1"/>
  <c r="M29" i="4"/>
  <c r="M30" i="4"/>
  <c r="Q42" i="4"/>
  <c r="K42" i="4" s="1"/>
  <c r="M24" i="4"/>
  <c r="Q43" i="4"/>
  <c r="K43" i="4" s="1"/>
  <c r="M25" i="4"/>
  <c r="K28" i="21"/>
  <c r="K14" i="21"/>
  <c r="K42" i="21"/>
  <c r="K56" i="21"/>
  <c r="K35" i="3"/>
  <c r="Q46" i="4" l="1"/>
  <c r="K46" i="4" s="1"/>
  <c r="K44" i="4"/>
  <c r="P48" i="4"/>
  <c r="I48" i="4" s="1"/>
  <c r="K30" i="4"/>
  <c r="Q48" i="4"/>
  <c r="K48" i="4" s="1"/>
  <c r="J46" i="6"/>
  <c r="J36" i="3"/>
  <c r="K58" i="9"/>
  <c r="R37" i="4" s="1"/>
  <c r="M37" i="4" s="1"/>
  <c r="K48" i="9"/>
  <c r="R36" i="4" s="1"/>
  <c r="M36" i="4" s="1"/>
  <c r="K38" i="9"/>
  <c r="K40" i="9" s="1"/>
  <c r="R35" i="4" s="1"/>
  <c r="M35" i="4" s="1"/>
  <c r="K30" i="9"/>
  <c r="R34" i="4" s="1"/>
  <c r="M34" i="4" s="1"/>
  <c r="K17" i="9"/>
  <c r="R33" i="4" s="1"/>
  <c r="M33" i="4" s="1"/>
  <c r="J48" i="6" l="1"/>
  <c r="K59" i="9"/>
  <c r="K60" i="9" s="1"/>
  <c r="K31" i="9"/>
  <c r="R32" i="4" s="1"/>
  <c r="M32" i="4" s="1"/>
  <c r="S27" i="4"/>
  <c r="O27" i="4" s="1"/>
  <c r="S23" i="4"/>
  <c r="O23" i="4" s="1"/>
  <c r="R41" i="4" l="1"/>
  <c r="M41" i="4" s="1"/>
  <c r="S45" i="4"/>
  <c r="R45" i="4"/>
  <c r="M45" i="4" s="1"/>
  <c r="S41" i="4"/>
  <c r="O41" i="4" l="1"/>
  <c r="O45" i="4"/>
  <c r="F10" i="4"/>
  <c r="G19" i="4"/>
  <c r="G18" i="4"/>
  <c r="G17" i="4"/>
  <c r="G16" i="4"/>
  <c r="G15" i="4"/>
  <c r="G14" i="4"/>
  <c r="G12" i="4"/>
  <c r="G11" i="4"/>
  <c r="G9" i="4"/>
  <c r="G8" i="4"/>
  <c r="G7" i="4"/>
  <c r="G6" i="4"/>
  <c r="G5" i="4"/>
  <c r="L53" i="21"/>
  <c r="L52" i="21"/>
  <c r="L49" i="21"/>
  <c r="L48" i="21"/>
  <c r="L39" i="21"/>
  <c r="L38" i="21"/>
  <c r="L35" i="21"/>
  <c r="L34" i="21"/>
  <c r="L25" i="21"/>
  <c r="L24" i="21"/>
  <c r="L21" i="21"/>
  <c r="L20" i="21"/>
  <c r="L11" i="21"/>
  <c r="L10" i="21"/>
  <c r="L7" i="21"/>
  <c r="L6" i="21"/>
  <c r="L54" i="5"/>
  <c r="L50" i="5"/>
  <c r="L40" i="5"/>
  <c r="L36" i="5"/>
  <c r="L26" i="5"/>
  <c r="L22" i="5"/>
  <c r="L12" i="5"/>
  <c r="L8" i="5"/>
  <c r="E22" i="7"/>
  <c r="F22" i="7"/>
  <c r="C22" i="7"/>
  <c r="L44" i="6"/>
  <c r="L35" i="6"/>
  <c r="L8" i="6"/>
  <c r="G10" i="4" l="1"/>
  <c r="E10" i="4"/>
  <c r="L12" i="21"/>
  <c r="L40" i="21"/>
  <c r="L54" i="21"/>
  <c r="L26" i="21"/>
  <c r="L50" i="21"/>
  <c r="L36" i="21"/>
  <c r="L22" i="21"/>
  <c r="L8" i="21"/>
  <c r="L56" i="5"/>
  <c r="L42" i="5"/>
  <c r="L28" i="5"/>
  <c r="L14" i="5"/>
  <c r="G22" i="7"/>
  <c r="L42" i="21" l="1"/>
  <c r="L14" i="21"/>
  <c r="L56" i="21"/>
  <c r="L28" i="21"/>
  <c r="L33" i="3"/>
  <c r="L8" i="3"/>
  <c r="L11" i="3" l="1"/>
  <c r="S24" i="4"/>
  <c r="L58" i="9"/>
  <c r="S37" i="4" s="1"/>
  <c r="L48" i="9"/>
  <c r="S36" i="4" s="1"/>
  <c r="L38" i="9"/>
  <c r="L40" i="9" s="1"/>
  <c r="S35" i="4" s="1"/>
  <c r="L30" i="9"/>
  <c r="S34" i="4" s="1"/>
  <c r="L17" i="9"/>
  <c r="S33" i="4" s="1"/>
  <c r="O33" i="4" l="1"/>
  <c r="O37" i="4"/>
  <c r="O24" i="4"/>
  <c r="S42" i="4"/>
  <c r="R42" i="4"/>
  <c r="M42" i="4" s="1"/>
  <c r="O36" i="4"/>
  <c r="O35" i="4"/>
  <c r="L14" i="3"/>
  <c r="S25" i="4"/>
  <c r="O34" i="4"/>
  <c r="L59" i="9"/>
  <c r="L60" i="9" s="1"/>
  <c r="L31" i="9"/>
  <c r="S32" i="4" s="1"/>
  <c r="T27" i="4"/>
  <c r="T23" i="4"/>
  <c r="M53" i="21"/>
  <c r="M52" i="21"/>
  <c r="M49" i="21"/>
  <c r="M48" i="21"/>
  <c r="M39" i="21"/>
  <c r="M38" i="21"/>
  <c r="M35" i="21"/>
  <c r="M34" i="21"/>
  <c r="M25" i="21"/>
  <c r="M24" i="21"/>
  <c r="M21" i="21"/>
  <c r="M20" i="21"/>
  <c r="M11" i="21"/>
  <c r="M10" i="21"/>
  <c r="M7" i="21"/>
  <c r="M6" i="21"/>
  <c r="M54" i="5"/>
  <c r="M50" i="5"/>
  <c r="M40" i="5"/>
  <c r="M36" i="5"/>
  <c r="M26" i="5"/>
  <c r="M22" i="5"/>
  <c r="M12" i="5"/>
  <c r="M8" i="5"/>
  <c r="M49" i="6"/>
  <c r="M44" i="6"/>
  <c r="M35" i="6"/>
  <c r="M8" i="6"/>
  <c r="O25" i="4" l="1"/>
  <c r="S43" i="4"/>
  <c r="R43" i="4"/>
  <c r="M43" i="4" s="1"/>
  <c r="O42" i="4"/>
  <c r="L18" i="3"/>
  <c r="S26" i="4"/>
  <c r="O32" i="4"/>
  <c r="M12" i="21"/>
  <c r="M26" i="21"/>
  <c r="M40" i="21"/>
  <c r="M14" i="5"/>
  <c r="M56" i="5"/>
  <c r="M54" i="21"/>
  <c r="M50" i="21"/>
  <c r="M36" i="21"/>
  <c r="M22" i="21"/>
  <c r="M8" i="21"/>
  <c r="M42" i="5"/>
  <c r="M28" i="5"/>
  <c r="M14" i="21" l="1"/>
  <c r="M42" i="21"/>
  <c r="O26" i="4"/>
  <c r="S44" i="4"/>
  <c r="S28" i="4"/>
  <c r="R44" i="4"/>
  <c r="M44" i="4" s="1"/>
  <c r="L21" i="3"/>
  <c r="S29" i="4"/>
  <c r="L7" i="6"/>
  <c r="O43" i="4"/>
  <c r="M28" i="21"/>
  <c r="M56" i="21"/>
  <c r="M33" i="3"/>
  <c r="M8" i="3"/>
  <c r="T24" i="4" s="1"/>
  <c r="M11" i="3" l="1"/>
  <c r="R46" i="4"/>
  <c r="M46" i="4" s="1"/>
  <c r="O28" i="4"/>
  <c r="O29" i="4"/>
  <c r="R47" i="4"/>
  <c r="M47" i="4" s="1"/>
  <c r="S47" i="4"/>
  <c r="L23" i="3"/>
  <c r="S30" i="4"/>
  <c r="L34" i="3"/>
  <c r="O44" i="4"/>
  <c r="S46" i="4"/>
  <c r="O46" i="4" s="1"/>
  <c r="L23" i="6"/>
  <c r="M58" i="9"/>
  <c r="T37" i="4" s="1"/>
  <c r="M48" i="9"/>
  <c r="T36" i="4" s="1"/>
  <c r="M38" i="9"/>
  <c r="M40" i="9" s="1"/>
  <c r="T35" i="4" s="1"/>
  <c r="M30" i="9"/>
  <c r="T34" i="4" s="1"/>
  <c r="M17" i="9"/>
  <c r="T33" i="4" s="1"/>
  <c r="L36" i="3" l="1"/>
  <c r="O47" i="4"/>
  <c r="L46" i="6"/>
  <c r="O30" i="4"/>
  <c r="R48" i="4"/>
  <c r="M48" i="4" s="1"/>
  <c r="S48" i="4"/>
  <c r="T25" i="4"/>
  <c r="M14" i="3"/>
  <c r="M59" i="9"/>
  <c r="M60" i="9" s="1"/>
  <c r="M31" i="9"/>
  <c r="T32" i="4" s="1"/>
  <c r="N53" i="21"/>
  <c r="N52" i="21"/>
  <c r="N49" i="21"/>
  <c r="N48" i="21"/>
  <c r="L48" i="6" l="1"/>
  <c r="O48" i="4"/>
  <c r="T26" i="4"/>
  <c r="M18" i="3"/>
  <c r="N54" i="21"/>
  <c r="N50" i="21"/>
  <c r="T29" i="4" l="1"/>
  <c r="M7" i="6"/>
  <c r="M21" i="3"/>
  <c r="L50" i="6"/>
  <c r="T28" i="4"/>
  <c r="N56" i="21"/>
  <c r="N39" i="21"/>
  <c r="N38" i="21"/>
  <c r="N35" i="21"/>
  <c r="N34" i="21"/>
  <c r="N25" i="21"/>
  <c r="N24" i="21"/>
  <c r="N21" i="21"/>
  <c r="N20" i="21"/>
  <c r="N11" i="21"/>
  <c r="N10" i="21"/>
  <c r="N7" i="21"/>
  <c r="N6" i="21"/>
  <c r="N54" i="5"/>
  <c r="N50" i="5"/>
  <c r="N40" i="5"/>
  <c r="N36" i="5"/>
  <c r="N26" i="5"/>
  <c r="N22" i="5"/>
  <c r="N12" i="5"/>
  <c r="N8" i="5"/>
  <c r="N14" i="5" l="1"/>
  <c r="E21" i="7"/>
  <c r="D21" i="7"/>
  <c r="T30" i="4"/>
  <c r="M34" i="3"/>
  <c r="M23" i="6"/>
  <c r="M46" i="6" s="1"/>
  <c r="M48" i="6" s="1"/>
  <c r="M50" i="6" s="1"/>
  <c r="J50" i="6" s="1"/>
  <c r="N26" i="21"/>
  <c r="N40" i="21"/>
  <c r="N22" i="21"/>
  <c r="N36" i="21"/>
  <c r="N12" i="21"/>
  <c r="N8" i="21"/>
  <c r="N56" i="5"/>
  <c r="N42" i="5"/>
  <c r="N28" i="5"/>
  <c r="G21" i="7" l="1"/>
  <c r="N42" i="21"/>
  <c r="N28" i="21"/>
  <c r="N14" i="21"/>
  <c r="U27" i="4"/>
  <c r="U23" i="4"/>
  <c r="T41" i="4" l="1"/>
  <c r="T45" i="4"/>
  <c r="N49" i="6"/>
  <c r="N44" i="6"/>
  <c r="N35" i="6"/>
  <c r="N8" i="6" l="1"/>
  <c r="N23" i="6" s="1"/>
  <c r="N46" i="6" s="1"/>
  <c r="N48" i="6" s="1"/>
  <c r="N50" i="6" s="1"/>
  <c r="N31" i="3" l="1"/>
  <c r="N8" i="3"/>
  <c r="N33" i="3" l="1"/>
  <c r="N11" i="3"/>
  <c r="U24" i="4"/>
  <c r="N58" i="9"/>
  <c r="U37" i="4" s="1"/>
  <c r="N48" i="9"/>
  <c r="U36" i="4" s="1"/>
  <c r="N38" i="9"/>
  <c r="N40" i="9" s="1"/>
  <c r="U35" i="4" s="1"/>
  <c r="N30" i="9"/>
  <c r="U34" i="4" s="1"/>
  <c r="N17" i="9"/>
  <c r="U33" i="4" s="1"/>
  <c r="T42" i="4" l="1"/>
  <c r="N14" i="3"/>
  <c r="U25" i="4"/>
  <c r="N59" i="9"/>
  <c r="N60" i="9" s="1"/>
  <c r="N31" i="9"/>
  <c r="U32" i="4" s="1"/>
  <c r="V37" i="4"/>
  <c r="V36" i="4"/>
  <c r="V35" i="4"/>
  <c r="V34" i="4"/>
  <c r="V33" i="4"/>
  <c r="V32" i="4"/>
  <c r="V27" i="4"/>
  <c r="V23" i="4"/>
  <c r="O53" i="21"/>
  <c r="O52" i="21"/>
  <c r="O49" i="21"/>
  <c r="O48" i="21"/>
  <c r="O39" i="21"/>
  <c r="O38" i="21"/>
  <c r="O35" i="21"/>
  <c r="O34" i="21"/>
  <c r="O25" i="21"/>
  <c r="O24" i="21"/>
  <c r="O21" i="21"/>
  <c r="O20" i="21"/>
  <c r="O11" i="21"/>
  <c r="O10" i="21"/>
  <c r="O7" i="21"/>
  <c r="O6" i="21"/>
  <c r="O54" i="5"/>
  <c r="O50" i="5"/>
  <c r="O40" i="5"/>
  <c r="O36" i="5"/>
  <c r="O26" i="5"/>
  <c r="O22" i="5"/>
  <c r="O12" i="5"/>
  <c r="O8" i="5"/>
  <c r="T43" i="4" l="1"/>
  <c r="O26" i="21"/>
  <c r="O40" i="21"/>
  <c r="O54" i="21"/>
  <c r="V41" i="4"/>
  <c r="U41" i="4"/>
  <c r="N18" i="3"/>
  <c r="U26" i="4"/>
  <c r="U45" i="4"/>
  <c r="V45" i="4"/>
  <c r="O50" i="21"/>
  <c r="O36" i="21"/>
  <c r="O22" i="21"/>
  <c r="O12" i="21"/>
  <c r="O8" i="21"/>
  <c r="O56" i="5"/>
  <c r="O42" i="5"/>
  <c r="O28" i="5"/>
  <c r="O14" i="5"/>
  <c r="F19" i="7"/>
  <c r="C19" i="7"/>
  <c r="O44" i="6"/>
  <c r="O35" i="6"/>
  <c r="O8" i="6"/>
  <c r="O56" i="21" l="1"/>
  <c r="O28" i="21"/>
  <c r="T44" i="4"/>
  <c r="O42" i="21"/>
  <c r="N21" i="3"/>
  <c r="U29" i="4"/>
  <c r="U28" i="4"/>
  <c r="O14" i="21"/>
  <c r="O23" i="6"/>
  <c r="T46" i="4" l="1"/>
  <c r="T47" i="4"/>
  <c r="N34" i="3"/>
  <c r="U30" i="4"/>
  <c r="D20" i="7"/>
  <c r="O46" i="6"/>
  <c r="T48" i="4" l="1"/>
  <c r="E20" i="7"/>
  <c r="G20" i="7" s="1"/>
  <c r="O48" i="6"/>
  <c r="O33" i="3"/>
  <c r="O8" i="3"/>
  <c r="O11" i="3" s="1"/>
  <c r="V25" i="4" l="1"/>
  <c r="O14" i="3"/>
  <c r="V24" i="4"/>
  <c r="O50" i="6"/>
  <c r="U43" i="4" l="1"/>
  <c r="U42" i="4"/>
  <c r="O18" i="3"/>
  <c r="V26" i="4"/>
  <c r="V43" i="4"/>
  <c r="V42" i="4"/>
  <c r="U44" i="4" l="1"/>
  <c r="V44" i="4"/>
  <c r="V28" i="4"/>
  <c r="V29" i="4"/>
  <c r="O21" i="3"/>
  <c r="U46" i="4" l="1"/>
  <c r="U47" i="4"/>
  <c r="V30" i="4"/>
  <c r="D19" i="7"/>
  <c r="O34" i="3"/>
  <c r="O22" i="3"/>
  <c r="V47" i="4"/>
  <c r="K6" i="4"/>
  <c r="K7" i="4"/>
  <c r="K8" i="4"/>
  <c r="K9" i="4"/>
  <c r="K10" i="4"/>
  <c r="K11" i="4"/>
  <c r="K12" i="4"/>
  <c r="K14" i="4"/>
  <c r="K15" i="4"/>
  <c r="K16" i="4"/>
  <c r="K17" i="4"/>
  <c r="K18" i="4"/>
  <c r="K19" i="4"/>
  <c r="I6" i="4"/>
  <c r="I7" i="4"/>
  <c r="I8" i="4"/>
  <c r="I9" i="4"/>
  <c r="I10" i="4"/>
  <c r="I11" i="4"/>
  <c r="I12" i="4"/>
  <c r="I14" i="4"/>
  <c r="I15" i="4"/>
  <c r="I16" i="4"/>
  <c r="I17" i="4"/>
  <c r="I18" i="4"/>
  <c r="I19" i="4"/>
  <c r="K5" i="4"/>
  <c r="I5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U48" i="4" l="1"/>
  <c r="V46" i="4"/>
  <c r="O35" i="3"/>
  <c r="E19" i="7"/>
  <c r="G19" i="7" s="1"/>
  <c r="V48" i="4"/>
  <c r="R6" i="21"/>
  <c r="S6" i="21"/>
  <c r="R7" i="21"/>
  <c r="S7" i="21"/>
  <c r="R8" i="21"/>
  <c r="S8" i="21"/>
  <c r="R10" i="21"/>
  <c r="S10" i="21"/>
  <c r="R11" i="21"/>
  <c r="S11" i="21"/>
  <c r="R12" i="21"/>
  <c r="S12" i="21"/>
  <c r="R14" i="21"/>
  <c r="S14" i="21"/>
  <c r="Q7" i="21"/>
  <c r="Q8" i="21"/>
  <c r="Q10" i="21"/>
  <c r="Q11" i="21"/>
  <c r="Q12" i="21"/>
  <c r="Q14" i="21"/>
  <c r="Q6" i="21"/>
  <c r="V6" i="21"/>
  <c r="W6" i="21"/>
  <c r="V7" i="21"/>
  <c r="W7" i="21"/>
  <c r="V8" i="21"/>
  <c r="W8" i="21"/>
  <c r="V10" i="21"/>
  <c r="W10" i="21"/>
  <c r="V11" i="21"/>
  <c r="W11" i="21"/>
  <c r="V12" i="21"/>
  <c r="W12" i="21"/>
  <c r="V14" i="21"/>
  <c r="W14" i="21"/>
  <c r="U7" i="21"/>
  <c r="U8" i="21"/>
  <c r="U10" i="21"/>
  <c r="U11" i="21"/>
  <c r="U12" i="21"/>
  <c r="U14" i="21"/>
  <c r="U6" i="21"/>
  <c r="Z6" i="21"/>
  <c r="AA6" i="21"/>
  <c r="Z7" i="21"/>
  <c r="AA7" i="21"/>
  <c r="Z8" i="21"/>
  <c r="AA8" i="21"/>
  <c r="Z10" i="21"/>
  <c r="AA10" i="21"/>
  <c r="Z11" i="21"/>
  <c r="AA11" i="21"/>
  <c r="Z12" i="21"/>
  <c r="AA12" i="21"/>
  <c r="Z14" i="21"/>
  <c r="AA14" i="21"/>
  <c r="Y7" i="21"/>
  <c r="Y8" i="21"/>
  <c r="Y10" i="21"/>
  <c r="Y11" i="21"/>
  <c r="Y12" i="21"/>
  <c r="Y14" i="21"/>
  <c r="Y6" i="21"/>
  <c r="R20" i="21"/>
  <c r="S20" i="21"/>
  <c r="R21" i="21"/>
  <c r="S21" i="21"/>
  <c r="R22" i="21"/>
  <c r="S22" i="21"/>
  <c r="R24" i="21"/>
  <c r="S24" i="21"/>
  <c r="R25" i="21"/>
  <c r="S25" i="21"/>
  <c r="R26" i="21"/>
  <c r="S26" i="21"/>
  <c r="R28" i="21"/>
  <c r="S28" i="21"/>
  <c r="Q21" i="21"/>
  <c r="Q22" i="21"/>
  <c r="Q24" i="21"/>
  <c r="Q25" i="21"/>
  <c r="Q26" i="21"/>
  <c r="Q28" i="21"/>
  <c r="Q20" i="21"/>
  <c r="V20" i="21"/>
  <c r="W20" i="21"/>
  <c r="V21" i="21"/>
  <c r="W21" i="21"/>
  <c r="V22" i="21"/>
  <c r="W22" i="21"/>
  <c r="V24" i="21"/>
  <c r="W24" i="21"/>
  <c r="V25" i="21"/>
  <c r="W25" i="21"/>
  <c r="V26" i="21"/>
  <c r="W26" i="21"/>
  <c r="V28" i="21"/>
  <c r="W28" i="21"/>
  <c r="U21" i="21"/>
  <c r="U22" i="21"/>
  <c r="U24" i="21"/>
  <c r="U25" i="21"/>
  <c r="U26" i="21"/>
  <c r="U28" i="21"/>
  <c r="U20" i="21"/>
  <c r="Z20" i="21"/>
  <c r="AA20" i="21"/>
  <c r="Z21" i="21"/>
  <c r="AA21" i="21"/>
  <c r="Z22" i="21"/>
  <c r="AA22" i="21"/>
  <c r="Z24" i="21"/>
  <c r="AA24" i="21"/>
  <c r="Z25" i="21"/>
  <c r="AA25" i="21"/>
  <c r="Z26" i="21"/>
  <c r="AA26" i="21"/>
  <c r="Z28" i="21"/>
  <c r="AA28" i="21"/>
  <c r="Y21" i="21"/>
  <c r="Y22" i="21"/>
  <c r="Y24" i="21"/>
  <c r="Y25" i="21"/>
  <c r="Y26" i="21"/>
  <c r="Y28" i="21"/>
  <c r="Y20" i="21"/>
  <c r="Z34" i="21"/>
  <c r="AA34" i="21"/>
  <c r="Z35" i="21"/>
  <c r="AA35" i="21"/>
  <c r="Z36" i="21"/>
  <c r="AA36" i="21"/>
  <c r="Z38" i="21"/>
  <c r="AA38" i="21"/>
  <c r="Z39" i="21"/>
  <c r="AA39" i="21"/>
  <c r="Z40" i="21"/>
  <c r="AA40" i="21"/>
  <c r="Z42" i="21"/>
  <c r="AA42" i="21"/>
  <c r="Y35" i="21"/>
  <c r="Y36" i="21"/>
  <c r="Y38" i="21"/>
  <c r="Y39" i="21"/>
  <c r="Y40" i="21"/>
  <c r="Y42" i="21"/>
  <c r="Y34" i="21"/>
  <c r="V34" i="21"/>
  <c r="W34" i="21"/>
  <c r="V35" i="21"/>
  <c r="W35" i="21"/>
  <c r="V36" i="21"/>
  <c r="W36" i="21"/>
  <c r="V38" i="21"/>
  <c r="W38" i="21"/>
  <c r="V39" i="21"/>
  <c r="W39" i="21"/>
  <c r="V40" i="21"/>
  <c r="W40" i="21"/>
  <c r="V42" i="21"/>
  <c r="W42" i="21"/>
  <c r="U35" i="21"/>
  <c r="U36" i="21"/>
  <c r="U38" i="21"/>
  <c r="U39" i="21"/>
  <c r="U40" i="21"/>
  <c r="U42" i="21"/>
  <c r="U34" i="21"/>
  <c r="R34" i="21"/>
  <c r="S34" i="21"/>
  <c r="R35" i="21"/>
  <c r="S35" i="21"/>
  <c r="R36" i="21"/>
  <c r="S36" i="21"/>
  <c r="R38" i="21"/>
  <c r="S38" i="21"/>
  <c r="R39" i="21"/>
  <c r="S39" i="21"/>
  <c r="R40" i="21"/>
  <c r="S40" i="21"/>
  <c r="R42" i="21"/>
  <c r="S42" i="21"/>
  <c r="Q35" i="21"/>
  <c r="Q36" i="21"/>
  <c r="Q38" i="21"/>
  <c r="Q39" i="21"/>
  <c r="Q40" i="21"/>
  <c r="Q42" i="21"/>
  <c r="Q34" i="21"/>
  <c r="Z48" i="21"/>
  <c r="AA48" i="21"/>
  <c r="Z49" i="21"/>
  <c r="AA49" i="21"/>
  <c r="Z50" i="21"/>
  <c r="AA50" i="21"/>
  <c r="Z52" i="21"/>
  <c r="AA52" i="21"/>
  <c r="Z53" i="21"/>
  <c r="AA53" i="21"/>
  <c r="Z54" i="21"/>
  <c r="AA54" i="21"/>
  <c r="Z56" i="21"/>
  <c r="AA56" i="21"/>
  <c r="Y49" i="21"/>
  <c r="Y50" i="21"/>
  <c r="Y52" i="21"/>
  <c r="Y53" i="21"/>
  <c r="Y54" i="21"/>
  <c r="Y56" i="21"/>
  <c r="Y48" i="21"/>
  <c r="V48" i="21"/>
  <c r="W48" i="21"/>
  <c r="V49" i="21"/>
  <c r="W49" i="21"/>
  <c r="V50" i="21"/>
  <c r="W50" i="21"/>
  <c r="V52" i="21"/>
  <c r="W52" i="21"/>
  <c r="V53" i="21"/>
  <c r="W53" i="21"/>
  <c r="V54" i="21"/>
  <c r="W54" i="21"/>
  <c r="V56" i="21"/>
  <c r="W56" i="21"/>
  <c r="U49" i="21"/>
  <c r="U50" i="21"/>
  <c r="U52" i="21"/>
  <c r="U53" i="21"/>
  <c r="U54" i="21"/>
  <c r="U56" i="21"/>
  <c r="U48" i="21"/>
  <c r="R48" i="21"/>
  <c r="S48" i="21"/>
  <c r="R49" i="21"/>
  <c r="S49" i="21"/>
  <c r="R50" i="21"/>
  <c r="S50" i="21"/>
  <c r="R52" i="21"/>
  <c r="S52" i="21"/>
  <c r="R53" i="21"/>
  <c r="S53" i="21"/>
  <c r="R54" i="21"/>
  <c r="S54" i="21"/>
  <c r="R56" i="21"/>
  <c r="S56" i="21"/>
  <c r="Q49" i="21"/>
  <c r="Q50" i="21"/>
  <c r="Q52" i="21"/>
  <c r="Q53" i="21"/>
  <c r="Q54" i="21"/>
  <c r="Q56" i="21"/>
  <c r="Q48" i="21"/>
</calcChain>
</file>

<file path=xl/sharedStrings.xml><?xml version="1.0" encoding="utf-8"?>
<sst xmlns="http://schemas.openxmlformats.org/spreadsheetml/2006/main" count="803" uniqueCount="218">
  <si>
    <t>Przychody ze sprzedaży</t>
  </si>
  <si>
    <t>EBITDA</t>
  </si>
  <si>
    <t>Przychody netto ze sprzedaży</t>
  </si>
  <si>
    <t>Wynik brutto ze sprzedaży</t>
  </si>
  <si>
    <t>Wynik netto na sprzedaży</t>
  </si>
  <si>
    <t>Amortyzacja</t>
  </si>
  <si>
    <t>Wynik przed opadatkowaniem</t>
  </si>
  <si>
    <t>Wynik netto</t>
  </si>
  <si>
    <t>Aktywa ogółem</t>
  </si>
  <si>
    <t>Aktywa trwałe</t>
  </si>
  <si>
    <t>Aktywa obrotowe</t>
  </si>
  <si>
    <t>Kapitał własny</t>
  </si>
  <si>
    <t>Zobowiązania długoterminowe</t>
  </si>
  <si>
    <t>Zobowiązania krótkoterminowe</t>
  </si>
  <si>
    <t>I-IIIQ 14</t>
  </si>
  <si>
    <t>I-IIQ 14</t>
  </si>
  <si>
    <t>IQ 14</t>
  </si>
  <si>
    <t>I-IVQ 13</t>
  </si>
  <si>
    <t>I-IIIQ 13</t>
  </si>
  <si>
    <t>I-IIQ 13</t>
  </si>
  <si>
    <t>IQ 13</t>
  </si>
  <si>
    <t>I-IVQ 12</t>
  </si>
  <si>
    <t>I-IIIQ 12</t>
  </si>
  <si>
    <t>I-IIQ 12</t>
  </si>
  <si>
    <t>IQ 12</t>
  </si>
  <si>
    <t>IIIQ 14</t>
  </si>
  <si>
    <t>IIQ 14</t>
  </si>
  <si>
    <t>IVQ 13</t>
  </si>
  <si>
    <t>IIIQ 13</t>
  </si>
  <si>
    <t>IIQ 13</t>
  </si>
  <si>
    <t>IVQ 12</t>
  </si>
  <si>
    <t>IIIQ 12</t>
  </si>
  <si>
    <t>IIQ 12</t>
  </si>
  <si>
    <t>Rzeczowe aktywa trwałe</t>
  </si>
  <si>
    <t>Aktywa niematerialne</t>
  </si>
  <si>
    <t>Należności długoterminowe</t>
  </si>
  <si>
    <t>Akcje i udziały w jednostkach zależnych</t>
  </si>
  <si>
    <t>Inwestycje w jednostki stowarzyszone</t>
  </si>
  <si>
    <t>Razem Aktywa trwałe</t>
  </si>
  <si>
    <t>Zapasy</t>
  </si>
  <si>
    <t>Należności z tytułu dostaw i usług</t>
  </si>
  <si>
    <t>Należności z tytułu bieżącego podatku dochodowego</t>
  </si>
  <si>
    <t>Pozostałe należności</t>
  </si>
  <si>
    <t>Środki pieniężne i ich ekwiwalenty</t>
  </si>
  <si>
    <t>Razem Aktywa obrotowe</t>
  </si>
  <si>
    <t xml:space="preserve">RAZEM AKTYWA </t>
  </si>
  <si>
    <t>Kapitał akcyjny</t>
  </si>
  <si>
    <t>Inne skumulowane całkowite dochody</t>
  </si>
  <si>
    <t>Zyski zatrzymane</t>
  </si>
  <si>
    <t>Razem kapitał własny</t>
  </si>
  <si>
    <t>Zobowiązania</t>
  </si>
  <si>
    <t>Kredyty, pożyczki i zobowiązania z tytułu leasingu finansowego</t>
  </si>
  <si>
    <t>Pozostałe zobowiązania</t>
  </si>
  <si>
    <t>Rezerwa z tytułu odroczonego podatku dochodowego</t>
  </si>
  <si>
    <t>Razem zobowiązania długoterminowe</t>
  </si>
  <si>
    <t>Zobowiązaia z tytułu dostaw i usług</t>
  </si>
  <si>
    <t>Zobowiązania z tytułu bieżącego podatku dochodowego</t>
  </si>
  <si>
    <t>Rezerwy na pozostałe zobowiązania i inne obciążenia</t>
  </si>
  <si>
    <t>Razem zobowiązania krótkoterminowe</t>
  </si>
  <si>
    <t>Razem zobowiązania</t>
  </si>
  <si>
    <t>RAZEM PASYWA</t>
  </si>
  <si>
    <t>AKTYWA</t>
  </si>
  <si>
    <t>PASYWA</t>
  </si>
  <si>
    <t>Nieruchomości inwestycyjne</t>
  </si>
  <si>
    <t>Koszt sprzedanych produktów, towarów i materiałów</t>
  </si>
  <si>
    <t>Koszty sprzedaży</t>
  </si>
  <si>
    <t>Koszty ogólnego zarządu</t>
  </si>
  <si>
    <t>Pozostałe przychody operacyjne</t>
  </si>
  <si>
    <t>Pozostałe koszty operacyjne</t>
  </si>
  <si>
    <t>Wynik z działalności operacyjnej</t>
  </si>
  <si>
    <t>Przychody finansowe</t>
  </si>
  <si>
    <t>Koszty finansowe</t>
  </si>
  <si>
    <t>Wynik przed opodatkowaniem</t>
  </si>
  <si>
    <t>Podatek dochodowy bieżący</t>
  </si>
  <si>
    <t>Podatek dochodowy odroczony</t>
  </si>
  <si>
    <t>Inne całkowite dochody z tytyłu:</t>
  </si>
  <si>
    <t>ŁĄCZNE CAŁKOWITE DOCHODY</t>
  </si>
  <si>
    <t>Liczba akcji na koniec okresu (tys. szt)</t>
  </si>
  <si>
    <t>Wartość księgowa na jedną akcję (zł)</t>
  </si>
  <si>
    <t>Cena/zysk (P/E)</t>
  </si>
  <si>
    <t>Płynność bieżąca</t>
  </si>
  <si>
    <t>Płynność szybka</t>
  </si>
  <si>
    <t>Przepływy pieniężne z działalności operacyjnej</t>
  </si>
  <si>
    <t>Wynik brutto</t>
  </si>
  <si>
    <t>Korekty zysku brutto</t>
  </si>
  <si>
    <t>Zysk/Strata z tytułu różnic kursowych</t>
  </si>
  <si>
    <t>Odsetki i udziały w zyskach (dywidendy)</t>
  </si>
  <si>
    <t>Wynik na sprzedaży aktywów finansowych</t>
  </si>
  <si>
    <t>Zmiana stanu rezerw</t>
  </si>
  <si>
    <t>Zmiana stanu zapasów</t>
  </si>
  <si>
    <t>Zmiana stanu należności</t>
  </si>
  <si>
    <t>Zmiana stanu zobowiązań krótkoterminowych, z wyjątkiem kredytów i pożyczek</t>
  </si>
  <si>
    <t>Inne korekty</t>
  </si>
  <si>
    <t>Przepływy pieniężne netto z działalności operacyjnej</t>
  </si>
  <si>
    <t>Przepływy pieniężne z działalności inwestycyjnej</t>
  </si>
  <si>
    <t>Wpływy ze zbycia aktywów niematerialnych oraz rzeczowych aktywów trwałych</t>
  </si>
  <si>
    <t>Wpływy ze sprzedaży aktywów finansowych</t>
  </si>
  <si>
    <t>Przepływy pieniężne netto z działalności inwestycyjnej</t>
  </si>
  <si>
    <t>Przepływy pieniężne z działalności finansowej</t>
  </si>
  <si>
    <t>Wpływy z otrzymanych kredytów i pożyczek</t>
  </si>
  <si>
    <t>Spłata kredytów i pożyczek</t>
  </si>
  <si>
    <t>Spłata zobowiązań z tytułu leasingu finansowego</t>
  </si>
  <si>
    <t>Odsetki zapłacone</t>
  </si>
  <si>
    <t>Przepływy pieniężne netto z działalności finansowej</t>
  </si>
  <si>
    <t>Przepływy pieniężne netto razem</t>
  </si>
  <si>
    <t>Zyski/Straty z tytułu różniec kursowych z tytułu wyceny środków pieniężnych i ich ekwiwalentów</t>
  </si>
  <si>
    <t>Zmiana stanu środków pieniężnych i ich ekwiwalentów</t>
  </si>
  <si>
    <t>Stan środków pieniężnych i ich ekwiwalentów na początek okresu</t>
  </si>
  <si>
    <t>Stan środków pieniężnych i ich ekwiwalentów na koniec okresu</t>
  </si>
  <si>
    <t>Sprzedaż między segmentami</t>
  </si>
  <si>
    <t>Przychody segmentów ogółem</t>
  </si>
  <si>
    <t>Koszty (sprzedaż na zewnątrz)</t>
  </si>
  <si>
    <t>Koszty (sprzedaż między segmentami)</t>
  </si>
  <si>
    <t>Koszty segmentów ogółem</t>
  </si>
  <si>
    <t>Wynik segmentu</t>
  </si>
  <si>
    <t>Sprzedaż na zewnątrz</t>
  </si>
  <si>
    <t>rdr</t>
  </si>
  <si>
    <t>I-IVQ 14</t>
  </si>
  <si>
    <t>IVQ 14</t>
  </si>
  <si>
    <t>Inne zyski zatrzymane</t>
  </si>
  <si>
    <t>Wynik bieżący i niepodzielony z lat ubiegłych</t>
  </si>
  <si>
    <t>Aktywa finansowe dostępne do sprzedaży</t>
  </si>
  <si>
    <t>Aktywa finansowe z tytułu zabezpieczeń przepływów pieniężnych</t>
  </si>
  <si>
    <t>Zobowiązania finansowe z tytułu zabezpieczeń przepływów pieniężnych</t>
  </si>
  <si>
    <t>Aktywa trwałe przeznaczone do sprzedaży</t>
  </si>
  <si>
    <t>Udział w zysku jednostek stowarzyszonych wycenianych metodą praw własności</t>
  </si>
  <si>
    <t>Pozycje niepodlegające reklasyfikacji</t>
  </si>
  <si>
    <t>Przeszacowanie nieruchomości</t>
  </si>
  <si>
    <t>Podatek dochodowy pozycji niereklasyfikowanych</t>
  </si>
  <si>
    <t>Pozycje podlegające reklasyfikacji</t>
  </si>
  <si>
    <t>Zabezpieczenie przepływów pieniężnych</t>
  </si>
  <si>
    <t>Inwestycje w instrumenty kapitałowe</t>
  </si>
  <si>
    <t>Podatek dochodowy pozycji reklasyfikowanych</t>
  </si>
  <si>
    <t xml:space="preserve">Inne całkowite dochody </t>
  </si>
  <si>
    <t>Przepływy z tytułu podatku dochodowego</t>
  </si>
  <si>
    <t>Wycena nieruchomości inwestycyjnych</t>
  </si>
  <si>
    <t>Wydatki na nabycie aktywów finansowych</t>
  </si>
  <si>
    <t>Wpływy z tytułu spłaty odsetek od udzielonych pożyczek</t>
  </si>
  <si>
    <t>Dywidendy otrzymane</t>
  </si>
  <si>
    <t>Inne wpływy inwestycyjne</t>
  </si>
  <si>
    <t>Inne wydatki inwestycyjne</t>
  </si>
  <si>
    <t>Inne wpływy finansowe</t>
  </si>
  <si>
    <t>Wydatki na nabycie aktywów niematerialnych oraz rzeczowych aktywów trwałych</t>
  </si>
  <si>
    <t>Wynik z działalności operacyjnej (EBIT)</t>
  </si>
  <si>
    <t>Wynik  z działalności operacyjnej (EBIT)</t>
  </si>
  <si>
    <t>DANE KWARTALNE NARASTAJĄCO [PLN]</t>
  </si>
  <si>
    <t>DANE ROCZNE [PLN]</t>
  </si>
  <si>
    <t>DANE KWARTALNE [PLN]</t>
  </si>
  <si>
    <t xml:space="preserve">GRUPA KAPITAŁOWA LUBAWA: BILANS </t>
  </si>
  <si>
    <t>GRUPA KAPITAŁOWA LUBAWA: RACHUNEK ZYSKÓW I STRAT</t>
  </si>
  <si>
    <t>GRUPA KAPITAŁOWA LUBAWA: PRZEPŁYWY PIENIĘŻNE</t>
  </si>
  <si>
    <t>DANE KWARTANE NARASTAJĄCO [PLN]</t>
  </si>
  <si>
    <t>GRUPA KAPITAŁOWA LUBAWA: ZESTAWIENIE ZMIAN W KAPITALE WŁASNYM</t>
  </si>
  <si>
    <t>GRUPA KAPITAŁOWA LUBAWA: WSKAŹNIKI FINANSOWE</t>
  </si>
  <si>
    <t xml:space="preserve">TKANINY </t>
  </si>
  <si>
    <t>POZOSTAŁE</t>
  </si>
  <si>
    <t>SPRZĘT SPECJALISTYCZNY</t>
  </si>
  <si>
    <t>MATERIAŁY REKLAMOWE</t>
  </si>
  <si>
    <t>TKANINY</t>
  </si>
  <si>
    <t>GRUPA KAPITAŁOWA LUBAWA: WYBRANE DANE FINANSOWE</t>
  </si>
  <si>
    <t>GRUPA KAPITAŁOWA LUBAWA: SEGMENTY BRANŻOWE</t>
  </si>
  <si>
    <t>Różnice kursowe z przeliczenia sprawozdań jednostek zagranicznych</t>
  </si>
  <si>
    <t>Udziały niedające kontroli</t>
  </si>
  <si>
    <t>IQ 15</t>
  </si>
  <si>
    <t>IQ15</t>
  </si>
  <si>
    <t>Udzielone pożyczki</t>
  </si>
  <si>
    <t>Aktywa z tytułu odroczonego podatku dochodowego</t>
  </si>
  <si>
    <t>Marża brutto ze sprzedaży (%)</t>
  </si>
  <si>
    <t>Stopa zwrotu z aktywów (ROA)</t>
  </si>
  <si>
    <t>Stopa zwrotu z kapitałów własnych (ROE)</t>
  </si>
  <si>
    <t>Zysk (strata) na jedną akcję zwykłą (zł)</t>
  </si>
  <si>
    <t>Wartość rynkowa akcji (tys. zł)</t>
  </si>
  <si>
    <t>Stopa zadłużenia (%)</t>
  </si>
  <si>
    <t>Wynik z udziałów w jednostkach stowarzyszonych wycenianych metodą praw własności</t>
  </si>
  <si>
    <t>Zmiana stanu środków trwałych przeznaczonych do sprzedaży</t>
  </si>
  <si>
    <t>Udzielenie pożyczek</t>
  </si>
  <si>
    <t>Wynik przypadający akcjonariuszom jednostki dominującej</t>
  </si>
  <si>
    <t>Wynik przypadający udziałom niedającym kontroli</t>
  </si>
  <si>
    <t>Suma całkowitych dochodów przypadająca akcjonariuszom jednostki dominującej</t>
  </si>
  <si>
    <t>Suma całkowitych dochodów przypadająca udziałom niedającym kontroli</t>
  </si>
  <si>
    <t>Należności z tytułu leasingu</t>
  </si>
  <si>
    <t>Kapitały przypadające akcjonariuszom jednostki dominującej</t>
  </si>
  <si>
    <t>Kapitały przypadające udziałom niedającym kontroli</t>
  </si>
  <si>
    <t>I-IIQ 15</t>
  </si>
  <si>
    <t>Zobowiązania z tytułu świadczeń pracowniczych</t>
  </si>
  <si>
    <t>IIQ 15</t>
  </si>
  <si>
    <t>Wynik na sprzedaży i likwidacji aktywów niematerialnych i rzeczowych aktywów trwałych</t>
  </si>
  <si>
    <t>I-IIIQ 15</t>
  </si>
  <si>
    <t>IIIQ 15</t>
  </si>
  <si>
    <t>I-IVQ 15</t>
  </si>
  <si>
    <t>IVQ 15</t>
  </si>
  <si>
    <t>IQ 16</t>
  </si>
  <si>
    <t>IQ16</t>
  </si>
  <si>
    <t>I-IIQ 16</t>
  </si>
  <si>
    <t>IIQ 16</t>
  </si>
  <si>
    <t>I-IIIQ 16</t>
  </si>
  <si>
    <t>Aktywa finansowe wyceniane w wartości godziwej przez wynik finanssowy</t>
  </si>
  <si>
    <t>IIIQ 16</t>
  </si>
  <si>
    <t>IVQ 16</t>
  </si>
  <si>
    <t>IQ 17</t>
  </si>
  <si>
    <t>IQ17</t>
  </si>
  <si>
    <t>I-IIQ 17</t>
  </si>
  <si>
    <t>IIQ 17</t>
  </si>
  <si>
    <t>-</t>
  </si>
  <si>
    <t>STAN NA KONIEC KWARTAŁU [PLN]</t>
  </si>
  <si>
    <t>I-IVQ 16</t>
  </si>
  <si>
    <t>LUBAWA S.A.: WYBRANE DANE FINANSOWE</t>
  </si>
  <si>
    <t>I-IIIQ 17</t>
  </si>
  <si>
    <t>IIIQ 17</t>
  </si>
  <si>
    <t>IVQ 17</t>
  </si>
  <si>
    <t>I-IVQ 17</t>
  </si>
  <si>
    <t>IQ 18</t>
  </si>
  <si>
    <t>I-IIQ 18</t>
  </si>
  <si>
    <t>IIQ 18</t>
  </si>
  <si>
    <t>IQ18</t>
  </si>
  <si>
    <t>I-IIIQ 18</t>
  </si>
  <si>
    <t>IIIQ 18</t>
  </si>
  <si>
    <t>Stan na koniec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</si>
</sst>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-* #,##0.00\ _z_ł_-;\-* #,##0.00\ _z_ł_-;_-* \-??\ _z_ł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 tint="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 tint="0.249977111117893"/>
      <name val="Calibri"/>
      <family val="2"/>
      <scheme val="minor"/>
    </font>
    <font>
      <b/>
      <sz val="28"/>
      <color theme="0"/>
      <name val="Century Gothic"/>
      <family val="2"/>
      <charset val="238"/>
    </font>
    <font>
      <b/>
      <sz val="24"/>
      <color theme="1" tint="0.499984740745262"/>
      <name val="Century Gothic"/>
      <family val="2"/>
      <charset val="238"/>
    </font>
    <font>
      <b/>
      <sz val="24"/>
      <color theme="1" tint="4.9989318521683403E-2"/>
      <name val="Century Gothic"/>
      <family val="2"/>
      <charset val="238"/>
    </font>
    <font>
      <b/>
      <sz val="24"/>
      <name val="Century Gothic"/>
      <family val="2"/>
      <charset val="238"/>
    </font>
    <font>
      <b/>
      <sz val="26"/>
      <color theme="1" tint="0.499984740745262"/>
      <name val="Century Gothic"/>
      <family val="2"/>
      <charset val="238"/>
    </font>
    <font>
      <b/>
      <sz val="20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203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/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49998474074526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1" tint="4.9989318521683403E-2"/>
      </bottom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24994659260841701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/>
      <bottom style="thin">
        <color theme="1" tint="4.9989318521683403E-2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rgb="FFBA203C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4.9989318521683403E-2"/>
      </bottom>
      <diagonal/>
    </border>
    <border>
      <left/>
      <right/>
      <top style="thin">
        <color rgb="FFBA203C"/>
      </top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39" fillId="0" borderId="0"/>
    <xf numFmtId="166" fontId="40" fillId="0" borderId="0" applyFill="0" applyBorder="0" applyAlignment="0" applyProtection="0"/>
    <xf numFmtId="0" fontId="41" fillId="0" borderId="0"/>
    <xf numFmtId="0" fontId="39" fillId="0" borderId="0"/>
    <xf numFmtId="0" fontId="40" fillId="0" borderId="0"/>
    <xf numFmtId="9" fontId="40" fillId="0" borderId="0" applyFill="0" applyBorder="0" applyAlignment="0" applyProtection="0"/>
    <xf numFmtId="0" fontId="40" fillId="0" borderId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0" fillId="0" borderId="0" xfId="0" applyFont="1" applyBorder="1"/>
    <xf numFmtId="0" fontId="15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/>
    <xf numFmtId="0" fontId="18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0" xfId="0" applyFont="1"/>
    <xf numFmtId="0" fontId="12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/>
    <xf numFmtId="0" fontId="22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21" fillId="2" borderId="1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12" fillId="2" borderId="11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4" fontId="21" fillId="2" borderId="11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 wrapText="1"/>
    </xf>
    <xf numFmtId="0" fontId="4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4" fillId="3" borderId="4" xfId="0" applyNumberFormat="1" applyFont="1" applyFill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2" borderId="3" xfId="0" applyNumberFormat="1" applyFont="1" applyFill="1" applyBorder="1" applyAlignment="1">
      <alignment vertical="center"/>
    </xf>
    <xf numFmtId="4" fontId="24" fillId="3" borderId="6" xfId="0" applyNumberFormat="1" applyFont="1" applyFill="1" applyBorder="1" applyAlignment="1">
      <alignment vertical="center"/>
    </xf>
    <xf numFmtId="4" fontId="24" fillId="2" borderId="6" xfId="0" applyNumberFormat="1" applyFont="1" applyFill="1" applyBorder="1" applyAlignment="1">
      <alignment vertical="center"/>
    </xf>
    <xf numFmtId="4" fontId="24" fillId="2" borderId="5" xfId="0" applyNumberFormat="1" applyFont="1" applyFill="1" applyBorder="1" applyAlignment="1">
      <alignment vertical="center"/>
    </xf>
    <xf numFmtId="4" fontId="25" fillId="3" borderId="6" xfId="0" applyNumberFormat="1" applyFont="1" applyFill="1" applyBorder="1" applyAlignment="1">
      <alignment vertical="center"/>
    </xf>
    <xf numFmtId="4" fontId="25" fillId="2" borderId="6" xfId="0" applyNumberFormat="1" applyFont="1" applyFill="1" applyBorder="1" applyAlignment="1">
      <alignment vertical="center"/>
    </xf>
    <xf numFmtId="4" fontId="25" fillId="2" borderId="5" xfId="0" applyNumberFormat="1" applyFont="1" applyFill="1" applyBorder="1" applyAlignment="1">
      <alignment vertical="center"/>
    </xf>
    <xf numFmtId="0" fontId="8" fillId="3" borderId="0" xfId="0" applyFont="1" applyFill="1"/>
    <xf numFmtId="0" fontId="12" fillId="2" borderId="11" xfId="0" applyFont="1" applyFill="1" applyBorder="1" applyAlignment="1">
      <alignment vertical="center"/>
    </xf>
    <xf numFmtId="4" fontId="12" fillId="2" borderId="10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3" borderId="0" xfId="0" applyFont="1" applyFill="1" applyBorder="1"/>
    <xf numFmtId="0" fontId="21" fillId="3" borderId="2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5" fillId="2" borderId="22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3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0" fontId="27" fillId="4" borderId="0" xfId="0" applyFont="1" applyFill="1" applyBorder="1" applyAlignment="1"/>
    <xf numFmtId="0" fontId="28" fillId="4" borderId="0" xfId="0" applyFont="1" applyFill="1" applyBorder="1" applyAlignment="1">
      <alignment horizontal="right"/>
    </xf>
    <xf numFmtId="0" fontId="29" fillId="0" borderId="0" xfId="0" applyFont="1"/>
    <xf numFmtId="4" fontId="29" fillId="0" borderId="0" xfId="0" applyNumberFormat="1" applyFont="1"/>
    <xf numFmtId="4" fontId="26" fillId="0" borderId="0" xfId="0" applyNumberFormat="1" applyFont="1" applyBorder="1"/>
    <xf numFmtId="0" fontId="26" fillId="0" borderId="0" xfId="0" applyFont="1" applyBorder="1"/>
    <xf numFmtId="4" fontId="30" fillId="0" borderId="0" xfId="0" applyNumberFormat="1" applyFont="1" applyBorder="1"/>
    <xf numFmtId="0" fontId="30" fillId="0" borderId="0" xfId="0" applyFont="1" applyBorder="1"/>
    <xf numFmtId="0" fontId="31" fillId="0" borderId="0" xfId="0" applyFont="1" applyBorder="1"/>
    <xf numFmtId="0" fontId="26" fillId="0" borderId="0" xfId="0" applyFont="1"/>
    <xf numFmtId="0" fontId="30" fillId="0" borderId="0" xfId="0" applyFont="1"/>
    <xf numFmtId="4" fontId="5" fillId="0" borderId="6" xfId="0" applyNumberFormat="1" applyFont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34" fillId="3" borderId="6" xfId="0" applyNumberFormat="1" applyFont="1" applyFill="1" applyBorder="1" applyAlignment="1">
      <alignment vertical="center"/>
    </xf>
    <xf numFmtId="0" fontId="34" fillId="3" borderId="6" xfId="0" applyFont="1" applyFill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4" fontId="35" fillId="3" borderId="6" xfId="0" applyNumberFormat="1" applyFont="1" applyFill="1" applyBorder="1" applyAlignment="1">
      <alignment vertical="center"/>
    </xf>
    <xf numFmtId="4" fontId="36" fillId="3" borderId="6" xfId="0" applyNumberFormat="1" applyFont="1" applyFill="1" applyBorder="1" applyAlignment="1">
      <alignment vertical="center"/>
    </xf>
    <xf numFmtId="4" fontId="36" fillId="3" borderId="7" xfId="0" applyNumberFormat="1" applyFont="1" applyFill="1" applyBorder="1" applyAlignment="1">
      <alignment vertical="center"/>
    </xf>
    <xf numFmtId="4" fontId="37" fillId="0" borderId="6" xfId="0" applyNumberFormat="1" applyFont="1" applyBorder="1" applyAlignment="1">
      <alignment horizontal="right" vertical="center"/>
    </xf>
    <xf numFmtId="4" fontId="37" fillId="0" borderId="13" xfId="0" applyNumberFormat="1" applyFont="1" applyBorder="1" applyAlignment="1">
      <alignment horizontal="right" vertical="center"/>
    </xf>
    <xf numFmtId="4" fontId="23" fillId="0" borderId="6" xfId="0" applyNumberFormat="1" applyFont="1" applyBorder="1" applyAlignment="1">
      <alignment horizontal="right" vertical="center"/>
    </xf>
    <xf numFmtId="4" fontId="14" fillId="0" borderId="0" xfId="0" applyNumberFormat="1" applyFont="1"/>
    <xf numFmtId="0" fontId="14" fillId="0" borderId="0" xfId="0" applyFont="1"/>
    <xf numFmtId="0" fontId="13" fillId="4" borderId="0" xfId="0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0" fontId="4" fillId="3" borderId="6" xfId="0" applyNumberFormat="1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horizontal="right" vertical="center"/>
    </xf>
    <xf numFmtId="10" fontId="4" fillId="2" borderId="11" xfId="0" applyNumberFormat="1" applyFont="1" applyFill="1" applyBorder="1" applyAlignment="1">
      <alignment horizontal="right" vertical="center"/>
    </xf>
    <xf numFmtId="10" fontId="4" fillId="0" borderId="6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24" fillId="0" borderId="0" xfId="0" applyNumberFormat="1" applyFont="1"/>
    <xf numFmtId="4" fontId="26" fillId="3" borderId="0" xfId="0" applyNumberFormat="1" applyFont="1" applyFill="1"/>
    <xf numFmtId="0" fontId="16" fillId="3" borderId="6" xfId="0" applyFont="1" applyFill="1" applyBorder="1" applyAlignment="1">
      <alignment vertical="center"/>
    </xf>
    <xf numFmtId="4" fontId="36" fillId="0" borderId="6" xfId="0" applyNumberFormat="1" applyFont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vertical="center"/>
    </xf>
    <xf numFmtId="4" fontId="35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0" fontId="43" fillId="4" borderId="0" xfId="0" applyFont="1" applyFill="1" applyBorder="1" applyAlignment="1">
      <alignment horizontal="left" vertical="center"/>
    </xf>
    <xf numFmtId="0" fontId="5" fillId="0" borderId="0" xfId="0" applyFont="1"/>
    <xf numFmtId="4" fontId="17" fillId="0" borderId="6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12" fillId="0" borderId="0" xfId="0" applyNumberFormat="1" applyFont="1" applyBorder="1"/>
    <xf numFmtId="4" fontId="17" fillId="2" borderId="5" xfId="0" applyNumberFormat="1" applyFont="1" applyFill="1" applyBorder="1" applyAlignment="1">
      <alignment vertical="center"/>
    </xf>
    <xf numFmtId="4" fontId="44" fillId="3" borderId="6" xfId="0" applyNumberFormat="1" applyFont="1" applyFill="1" applyBorder="1" applyAlignment="1">
      <alignment vertical="center"/>
    </xf>
    <xf numFmtId="4" fontId="17" fillId="2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vertical="center"/>
    </xf>
    <xf numFmtId="4" fontId="17" fillId="2" borderId="11" xfId="0" applyNumberFormat="1" applyFont="1" applyFill="1" applyBorder="1" applyAlignment="1">
      <alignment vertical="center"/>
    </xf>
    <xf numFmtId="0" fontId="45" fillId="0" borderId="0" xfId="0" applyFont="1"/>
    <xf numFmtId="4" fontId="12" fillId="0" borderId="0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 wrapText="1"/>
    </xf>
    <xf numFmtId="4" fontId="35" fillId="0" borderId="6" xfId="0" applyNumberFormat="1" applyFont="1" applyBorder="1" applyAlignment="1">
      <alignment vertical="center"/>
    </xf>
    <xf numFmtId="4" fontId="17" fillId="2" borderId="11" xfId="0" applyNumberFormat="1" applyFont="1" applyFill="1" applyBorder="1" applyAlignment="1">
      <alignment horizontal="right" vertical="center"/>
    </xf>
    <xf numFmtId="4" fontId="44" fillId="0" borderId="6" xfId="0" applyNumberFormat="1" applyFont="1" applyBorder="1" applyAlignment="1">
      <alignment horizontal="right" vertical="center"/>
    </xf>
    <xf numFmtId="4" fontId="17" fillId="2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8" fillId="3" borderId="0" xfId="0" applyFont="1" applyFill="1" applyBorder="1"/>
    <xf numFmtId="0" fontId="36" fillId="2" borderId="17" xfId="0" applyFont="1" applyFill="1" applyBorder="1" applyAlignment="1">
      <alignment horizontal="center" vertical="center"/>
    </xf>
    <xf numFmtId="4" fontId="36" fillId="2" borderId="5" xfId="0" applyNumberFormat="1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vertical="center"/>
    </xf>
    <xf numFmtId="0" fontId="12" fillId="3" borderId="0" xfId="0" applyFont="1" applyFill="1"/>
    <xf numFmtId="0" fontId="5" fillId="3" borderId="21" xfId="0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vertical="center"/>
    </xf>
    <xf numFmtId="3" fontId="12" fillId="2" borderId="23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10" fontId="12" fillId="2" borderId="5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4" fontId="32" fillId="2" borderId="3" xfId="0" applyNumberFormat="1" applyFont="1" applyFill="1" applyBorder="1" applyAlignment="1">
      <alignment vertical="center"/>
    </xf>
    <xf numFmtId="4" fontId="32" fillId="2" borderId="5" xfId="0" applyNumberFormat="1" applyFont="1" applyFill="1" applyBorder="1" applyAlignment="1">
      <alignment vertical="center"/>
    </xf>
    <xf numFmtId="0" fontId="32" fillId="0" borderId="0" xfId="0" applyFont="1" applyBorder="1"/>
    <xf numFmtId="4" fontId="32" fillId="0" borderId="6" xfId="0" applyNumberFormat="1" applyFont="1" applyBorder="1" applyAlignment="1">
      <alignment vertical="center"/>
    </xf>
    <xf numFmtId="4" fontId="33" fillId="0" borderId="6" xfId="0" applyNumberFormat="1" applyFont="1" applyBorder="1" applyAlignment="1">
      <alignment vertical="center"/>
    </xf>
    <xf numFmtId="0" fontId="33" fillId="2" borderId="2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" fontId="32" fillId="0" borderId="4" xfId="0" applyNumberFormat="1" applyFont="1" applyBorder="1" applyAlignment="1">
      <alignment vertical="center"/>
    </xf>
    <xf numFmtId="4" fontId="33" fillId="2" borderId="6" xfId="0" applyNumberFormat="1" applyFont="1" applyFill="1" applyBorder="1" applyAlignment="1">
      <alignment vertical="center"/>
    </xf>
    <xf numFmtId="4" fontId="24" fillId="2" borderId="29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/>
    <xf numFmtId="4" fontId="12" fillId="0" borderId="13" xfId="0" applyNumberFormat="1" applyFont="1" applyBorder="1" applyAlignment="1">
      <alignment vertical="center"/>
    </xf>
    <xf numFmtId="4" fontId="4" fillId="0" borderId="0" xfId="0" applyNumberFormat="1" applyFont="1"/>
    <xf numFmtId="0" fontId="43" fillId="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2" fillId="0" borderId="0" xfId="0" applyNumberFormat="1" applyFont="1" applyAlignment="1"/>
    <xf numFmtId="4" fontId="12" fillId="0" borderId="0" xfId="0" applyNumberFormat="1" applyFont="1" applyAlignment="1"/>
    <xf numFmtId="0" fontId="32" fillId="0" borderId="0" xfId="0" applyFont="1"/>
    <xf numFmtId="0" fontId="33" fillId="0" borderId="0" xfId="0" applyFont="1" applyBorder="1" applyAlignment="1">
      <alignment horizontal="center" vertical="center"/>
    </xf>
    <xf numFmtId="4" fontId="32" fillId="0" borderId="31" xfId="0" applyNumberFormat="1" applyFont="1" applyBorder="1" applyAlignment="1">
      <alignment vertical="center"/>
    </xf>
    <xf numFmtId="4" fontId="33" fillId="0" borderId="31" xfId="0" applyNumberFormat="1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4" fontId="12" fillId="0" borderId="34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0" fontId="35" fillId="0" borderId="0" xfId="0" applyFont="1"/>
    <xf numFmtId="10" fontId="12" fillId="0" borderId="34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4" fontId="4" fillId="0" borderId="0" xfId="0" applyNumberFormat="1" applyFont="1" applyBorder="1"/>
    <xf numFmtId="0" fontId="4" fillId="0" borderId="37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10" fontId="14" fillId="0" borderId="0" xfId="11" applyNumberFormat="1" applyFont="1"/>
    <xf numFmtId="0" fontId="13" fillId="4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3" fillId="4" borderId="0" xfId="0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46" fillId="4" borderId="0" xfId="0" applyFont="1" applyFill="1" applyBorder="1"/>
    <xf numFmtId="0" fontId="46" fillId="0" borderId="0" xfId="0" applyFont="1"/>
    <xf numFmtId="0" fontId="47" fillId="0" borderId="0" xfId="0" applyFont="1" applyAlignment="1">
      <alignment horizontal="left" vertical="center" wrapText="1"/>
    </xf>
    <xf numFmtId="0" fontId="48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51" fillId="0" borderId="8" xfId="0" applyFont="1" applyBorder="1" applyAlignment="1">
      <alignment vertical="center"/>
    </xf>
    <xf numFmtId="4" fontId="48" fillId="0" borderId="15" xfId="0" applyNumberFormat="1" applyFont="1" applyBorder="1" applyAlignment="1">
      <alignment horizontal="right" vertical="center"/>
    </xf>
    <xf numFmtId="4" fontId="48" fillId="2" borderId="15" xfId="0" applyNumberFormat="1" applyFont="1" applyFill="1" applyBorder="1" applyAlignment="1">
      <alignment horizontal="right" vertical="center"/>
    </xf>
    <xf numFmtId="4" fontId="48" fillId="3" borderId="0" xfId="0" applyNumberFormat="1" applyFont="1" applyFill="1" applyBorder="1" applyAlignment="1">
      <alignment horizontal="right" vertical="center"/>
    </xf>
    <xf numFmtId="4" fontId="53" fillId="3" borderId="0" xfId="0" applyNumberFormat="1" applyFont="1" applyFill="1" applyBorder="1" applyAlignment="1">
      <alignment horizontal="right" vertical="center"/>
    </xf>
    <xf numFmtId="0" fontId="51" fillId="0" borderId="6" xfId="0" applyFont="1" applyBorder="1" applyAlignment="1">
      <alignment vertical="center"/>
    </xf>
    <xf numFmtId="4" fontId="48" fillId="0" borderId="6" xfId="0" applyNumberFormat="1" applyFont="1" applyBorder="1" applyAlignment="1">
      <alignment horizontal="right" vertical="center"/>
    </xf>
    <xf numFmtId="4" fontId="48" fillId="2" borderId="6" xfId="0" applyNumberFormat="1" applyFont="1" applyFill="1" applyBorder="1" applyAlignment="1">
      <alignment horizontal="right" vertical="center"/>
    </xf>
    <xf numFmtId="4" fontId="54" fillId="3" borderId="0" xfId="0" applyNumberFormat="1" applyFont="1" applyFill="1" applyBorder="1" applyAlignment="1">
      <alignment horizontal="right" vertical="center"/>
    </xf>
    <xf numFmtId="0" fontId="55" fillId="0" borderId="6" xfId="0" applyFont="1" applyBorder="1" applyAlignment="1">
      <alignment vertical="center"/>
    </xf>
    <xf numFmtId="0" fontId="51" fillId="0" borderId="0" xfId="0" applyFont="1"/>
    <xf numFmtId="0" fontId="56" fillId="0" borderId="0" xfId="0" applyFont="1"/>
    <xf numFmtId="0" fontId="49" fillId="0" borderId="0" xfId="0" applyFont="1" applyBorder="1" applyAlignment="1"/>
    <xf numFmtId="0" fontId="48" fillId="0" borderId="0" xfId="0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4" fontId="48" fillId="2" borderId="15" xfId="0" applyNumberFormat="1" applyFont="1" applyFill="1" applyBorder="1" applyAlignment="1">
      <alignment vertical="center"/>
    </xf>
    <xf numFmtId="4" fontId="48" fillId="2" borderId="6" xfId="0" applyNumberFormat="1" applyFont="1" applyFill="1" applyBorder="1" applyAlignment="1">
      <alignment vertical="center"/>
    </xf>
    <xf numFmtId="0" fontId="57" fillId="0" borderId="0" xfId="0" applyFont="1"/>
    <xf numFmtId="0" fontId="48" fillId="0" borderId="0" xfId="0" applyFont="1"/>
    <xf numFmtId="4" fontId="12" fillId="0" borderId="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10" fontId="12" fillId="0" borderId="6" xfId="0" applyNumberFormat="1" applyFont="1" applyFill="1" applyBorder="1" applyAlignment="1">
      <alignment vertical="center"/>
    </xf>
    <xf numFmtId="0" fontId="46" fillId="0" borderId="0" xfId="0" applyFont="1" applyFill="1"/>
    <xf numFmtId="165" fontId="46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4" fontId="48" fillId="0" borderId="15" xfId="0" applyNumberFormat="1" applyFont="1" applyFill="1" applyBorder="1" applyAlignment="1">
      <alignment vertical="center"/>
    </xf>
    <xf numFmtId="164" fontId="48" fillId="0" borderId="18" xfId="0" applyNumberFormat="1" applyFont="1" applyFill="1" applyBorder="1" applyAlignment="1">
      <alignment vertical="center"/>
    </xf>
    <xf numFmtId="4" fontId="48" fillId="0" borderId="15" xfId="0" applyNumberFormat="1" applyFont="1" applyFill="1" applyBorder="1" applyAlignment="1">
      <alignment horizontal="right" vertical="center"/>
    </xf>
    <xf numFmtId="164" fontId="48" fillId="0" borderId="15" xfId="0" applyNumberFormat="1" applyFont="1" applyFill="1" applyBorder="1" applyAlignment="1">
      <alignment horizontal="right" vertical="center"/>
    </xf>
    <xf numFmtId="4" fontId="48" fillId="0" borderId="18" xfId="0" applyNumberFormat="1" applyFont="1" applyFill="1" applyBorder="1" applyAlignment="1">
      <alignment horizontal="right" vertical="center"/>
    </xf>
    <xf numFmtId="4" fontId="48" fillId="0" borderId="6" xfId="0" applyNumberFormat="1" applyFont="1" applyFill="1" applyBorder="1" applyAlignment="1">
      <alignment vertical="center"/>
    </xf>
    <xf numFmtId="164" fontId="48" fillId="0" borderId="5" xfId="0" applyNumberFormat="1" applyFont="1" applyFill="1" applyBorder="1" applyAlignment="1">
      <alignment vertical="center"/>
    </xf>
    <xf numFmtId="4" fontId="48" fillId="0" borderId="6" xfId="0" applyNumberFormat="1" applyFont="1" applyFill="1" applyBorder="1" applyAlignment="1">
      <alignment horizontal="right" vertical="center"/>
    </xf>
    <xf numFmtId="164" fontId="48" fillId="0" borderId="6" xfId="0" applyNumberFormat="1" applyFont="1" applyFill="1" applyBorder="1" applyAlignment="1">
      <alignment horizontal="right" vertical="center"/>
    </xf>
    <xf numFmtId="4" fontId="48" fillId="0" borderId="5" xfId="0" applyNumberFormat="1" applyFont="1" applyFill="1" applyBorder="1" applyAlignment="1">
      <alignment horizontal="right" vertical="center"/>
    </xf>
    <xf numFmtId="4" fontId="48" fillId="0" borderId="5" xfId="0" applyNumberFormat="1" applyFont="1" applyFill="1" applyBorder="1" applyAlignment="1">
      <alignment vertical="center"/>
    </xf>
    <xf numFmtId="0" fontId="50" fillId="2" borderId="27" xfId="0" applyFont="1" applyFill="1" applyBorder="1" applyAlignment="1">
      <alignment horizontal="center" vertical="center"/>
    </xf>
    <xf numFmtId="4" fontId="57" fillId="2" borderId="15" xfId="0" applyNumberFormat="1" applyFont="1" applyFill="1" applyBorder="1" applyAlignment="1">
      <alignment vertical="center"/>
    </xf>
    <xf numFmtId="164" fontId="57" fillId="2" borderId="28" xfId="11" applyNumberFormat="1" applyFont="1" applyFill="1" applyBorder="1" applyAlignment="1">
      <alignment vertical="center"/>
    </xf>
    <xf numFmtId="4" fontId="57" fillId="2" borderId="6" xfId="0" applyNumberFormat="1" applyFont="1" applyFill="1" applyBorder="1" applyAlignment="1">
      <alignment vertical="center"/>
    </xf>
    <xf numFmtId="164" fontId="57" fillId="2" borderId="6" xfId="11" applyNumberFormat="1" applyFont="1" applyFill="1" applyBorder="1" applyAlignment="1">
      <alignment vertical="center"/>
    </xf>
    <xf numFmtId="0" fontId="57" fillId="2" borderId="6" xfId="0" applyFont="1" applyFill="1" applyBorder="1" applyAlignment="1">
      <alignment vertical="center"/>
    </xf>
    <xf numFmtId="4" fontId="52" fillId="2" borderId="15" xfId="0" applyNumberFormat="1" applyFont="1" applyFill="1" applyBorder="1" applyAlignment="1">
      <alignment horizontal="right" vertical="center"/>
    </xf>
    <xf numFmtId="4" fontId="52" fillId="2" borderId="6" xfId="0" applyNumberFormat="1" applyFont="1" applyFill="1" applyBorder="1" applyAlignment="1">
      <alignment horizontal="right" vertical="center"/>
    </xf>
    <xf numFmtId="4" fontId="58" fillId="2" borderId="15" xfId="0" applyNumberFormat="1" applyFont="1" applyFill="1" applyBorder="1" applyAlignment="1">
      <alignment horizontal="right" vertical="center"/>
    </xf>
    <xf numFmtId="4" fontId="58" fillId="2" borderId="6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4" fontId="48" fillId="0" borderId="16" xfId="0" applyNumberFormat="1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12" fillId="2" borderId="25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3" borderId="0" xfId="0" applyFont="1" applyFill="1" applyAlignment="1"/>
    <xf numFmtId="0" fontId="11" fillId="0" borderId="0" xfId="0" applyFont="1" applyBorder="1" applyAlignment="1"/>
    <xf numFmtId="0" fontId="61" fillId="4" borderId="0" xfId="0" applyFont="1" applyFill="1" applyBorder="1" applyAlignment="1">
      <alignment horizontal="left" vertical="center"/>
    </xf>
    <xf numFmtId="0" fontId="62" fillId="3" borderId="0" xfId="0" applyFont="1" applyFill="1" applyAlignment="1"/>
    <xf numFmtId="0" fontId="62" fillId="0" borderId="0" xfId="0" applyFont="1" applyBorder="1" applyAlignment="1"/>
    <xf numFmtId="0" fontId="62" fillId="0" borderId="0" xfId="0" applyFont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4" fontId="5" fillId="3" borderId="38" xfId="0" applyNumberFormat="1" applyFont="1" applyFill="1" applyBorder="1" applyAlignment="1">
      <alignment vertical="center"/>
    </xf>
    <xf numFmtId="0" fontId="36" fillId="2" borderId="2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4" fontId="5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0" borderId="9" xfId="0" applyBorder="1"/>
    <xf numFmtId="0" fontId="26" fillId="0" borderId="0" xfId="0" applyFont="1" applyBorder="1" applyAlignment="1">
      <alignment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24" fillId="2" borderId="25" xfId="0" applyNumberFormat="1" applyFont="1" applyFill="1" applyBorder="1" applyAlignment="1">
      <alignment vertical="center"/>
    </xf>
    <xf numFmtId="4" fontId="24" fillId="2" borderId="13" xfId="0" applyNumberFormat="1" applyFont="1" applyFill="1" applyBorder="1" applyAlignment="1">
      <alignment vertical="center"/>
    </xf>
    <xf numFmtId="4" fontId="32" fillId="2" borderId="25" xfId="0" applyNumberFormat="1" applyFont="1" applyFill="1" applyBorder="1" applyAlignment="1">
      <alignment vertical="center"/>
    </xf>
    <xf numFmtId="4" fontId="24" fillId="3" borderId="13" xfId="0" applyNumberFormat="1" applyFont="1" applyFill="1" applyBorder="1" applyAlignment="1">
      <alignment vertical="center"/>
    </xf>
    <xf numFmtId="0" fontId="63" fillId="0" borderId="0" xfId="0" applyFont="1"/>
    <xf numFmtId="0" fontId="64" fillId="0" borderId="0" xfId="0" applyFont="1"/>
    <xf numFmtId="0" fontId="61" fillId="4" borderId="0" xfId="0" applyFont="1" applyFill="1" applyBorder="1" applyAlignment="1">
      <alignment vertical="center"/>
    </xf>
    <xf numFmtId="0" fontId="3" fillId="0" borderId="0" xfId="0" applyFont="1" applyAlignment="1"/>
    <xf numFmtId="0" fontId="65" fillId="0" borderId="0" xfId="0" applyFont="1" applyAlignment="1"/>
    <xf numFmtId="0" fontId="0" fillId="3" borderId="0" xfId="0" applyFill="1" applyBorder="1"/>
    <xf numFmtId="0" fontId="11" fillId="0" borderId="0" xfId="0" applyFont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4" fontId="4" fillId="0" borderId="15" xfId="0" applyNumberFormat="1" applyFont="1" applyBorder="1" applyAlignment="1">
      <alignment vertical="center"/>
    </xf>
    <xf numFmtId="164" fontId="4" fillId="0" borderId="15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4" fontId="4" fillId="3" borderId="15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/>
    <xf numFmtId="4" fontId="10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17" fillId="2" borderId="17" xfId="0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vertical="center"/>
    </xf>
    <xf numFmtId="0" fontId="67" fillId="3" borderId="0" xfId="0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8" fillId="3" borderId="0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3" fontId="0" fillId="3" borderId="0" xfId="0" applyNumberForma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0" fillId="0" borderId="0" xfId="0" applyBorder="1" applyAlignment="1"/>
    <xf numFmtId="3" fontId="0" fillId="0" borderId="0" xfId="0" applyNumberFormat="1"/>
    <xf numFmtId="0" fontId="0" fillId="0" borderId="0" xfId="0" applyFill="1" applyBorder="1"/>
    <xf numFmtId="0" fontId="5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164" fontId="48" fillId="0" borderId="16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right" vertical="center"/>
    </xf>
    <xf numFmtId="0" fontId="50" fillId="2" borderId="41" xfId="0" applyFont="1" applyFill="1" applyBorder="1" applyAlignment="1">
      <alignment horizontal="center" vertical="center"/>
    </xf>
    <xf numFmtId="164" fontId="52" fillId="2" borderId="16" xfId="0" applyNumberFormat="1" applyFont="1" applyFill="1" applyBorder="1" applyAlignment="1">
      <alignment horizontal="right" vertical="center"/>
    </xf>
    <xf numFmtId="164" fontId="52" fillId="2" borderId="11" xfId="0" applyNumberFormat="1" applyFont="1" applyFill="1" applyBorder="1" applyAlignment="1">
      <alignment horizontal="right" vertical="center"/>
    </xf>
    <xf numFmtId="164" fontId="60" fillId="2" borderId="1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164" fontId="4" fillId="2" borderId="6" xfId="11" applyNumberFormat="1" applyFont="1" applyFill="1" applyBorder="1" applyAlignment="1">
      <alignment vertical="center"/>
    </xf>
    <xf numFmtId="164" fontId="4" fillId="2" borderId="0" xfId="11" applyNumberFormat="1" applyFont="1" applyFill="1" applyBorder="1" applyAlignment="1">
      <alignment vertical="center"/>
    </xf>
    <xf numFmtId="4" fontId="4" fillId="2" borderId="39" xfId="0" applyNumberFormat="1" applyFont="1" applyFill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/>
    </xf>
    <xf numFmtId="4" fontId="4" fillId="2" borderId="4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0" fontId="17" fillId="2" borderId="46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0" fontId="17" fillId="3" borderId="17" xfId="0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0" fontId="46" fillId="4" borderId="0" xfId="0" applyFont="1" applyFill="1"/>
    <xf numFmtId="0" fontId="66" fillId="4" borderId="0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6" fillId="0" borderId="0" xfId="0" applyFont="1" applyBorder="1"/>
    <xf numFmtId="0" fontId="61" fillId="4" borderId="0" xfId="0" applyFont="1" applyFill="1" applyBorder="1" applyAlignment="1">
      <alignment horizontal="left" vertical="center"/>
    </xf>
    <xf numFmtId="3" fontId="12" fillId="0" borderId="28" xfId="0" applyNumberFormat="1" applyFont="1" applyFill="1" applyBorder="1" applyAlignment="1">
      <alignment vertical="center"/>
    </xf>
    <xf numFmtId="0" fontId="50" fillId="0" borderId="27" xfId="0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>
      <alignment vertical="center"/>
    </xf>
    <xf numFmtId="164" fontId="57" fillId="0" borderId="28" xfId="11" applyNumberFormat="1" applyFont="1" applyFill="1" applyBorder="1" applyAlignment="1">
      <alignment vertical="center"/>
    </xf>
    <xf numFmtId="4" fontId="57" fillId="0" borderId="6" xfId="0" applyNumberFormat="1" applyFont="1" applyFill="1" applyBorder="1" applyAlignment="1">
      <alignment vertical="center"/>
    </xf>
    <xf numFmtId="164" fontId="57" fillId="0" borderId="6" xfId="11" applyNumberFormat="1" applyFont="1" applyFill="1" applyBorder="1" applyAlignment="1">
      <alignment vertical="center"/>
    </xf>
    <xf numFmtId="0" fontId="57" fillId="0" borderId="6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vertical="center"/>
    </xf>
    <xf numFmtId="4" fontId="8" fillId="0" borderId="0" xfId="0" applyNumberFormat="1" applyFont="1"/>
    <xf numFmtId="0" fontId="62" fillId="0" borderId="0" xfId="0" applyFont="1" applyAlignment="1">
      <alignment horizontal="left" vertical="center" wrapText="1"/>
    </xf>
    <xf numFmtId="0" fontId="61" fillId="4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28" fillId="4" borderId="47" xfId="0" applyFont="1" applyFill="1" applyBorder="1" applyAlignment="1">
      <alignment horizontal="right"/>
    </xf>
    <xf numFmtId="0" fontId="0" fillId="4" borderId="47" xfId="0" applyFill="1" applyBorder="1"/>
    <xf numFmtId="0" fontId="70" fillId="0" borderId="0" xfId="0" applyFont="1"/>
    <xf numFmtId="4" fontId="4" fillId="0" borderId="4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" fontId="4" fillId="0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164" fontId="48" fillId="0" borderId="15" xfId="0" applyNumberFormat="1" applyFont="1" applyBorder="1" applyAlignment="1">
      <alignment horizontal="right" vertical="center"/>
    </xf>
    <xf numFmtId="164" fontId="48" fillId="0" borderId="6" xfId="0" applyNumberFormat="1" applyFont="1" applyBorder="1" applyAlignment="1">
      <alignment horizontal="right" vertical="center"/>
    </xf>
    <xf numFmtId="0" fontId="49" fillId="2" borderId="49" xfId="0" applyFont="1" applyFill="1" applyBorder="1" applyAlignment="1">
      <alignment horizontal="center" vertical="center"/>
    </xf>
    <xf numFmtId="4" fontId="52" fillId="2" borderId="39" xfId="0" applyNumberFormat="1" applyFont="1" applyFill="1" applyBorder="1" applyAlignment="1">
      <alignment horizontal="right" vertical="center"/>
    </xf>
    <xf numFmtId="4" fontId="52" fillId="2" borderId="40" xfId="0" applyNumberFormat="1" applyFont="1" applyFill="1" applyBorder="1" applyAlignment="1">
      <alignment horizontal="right" vertical="center"/>
    </xf>
    <xf numFmtId="164" fontId="48" fillId="0" borderId="15" xfId="0" applyNumberFormat="1" applyFont="1" applyFill="1" applyBorder="1" applyAlignment="1">
      <alignment vertical="center"/>
    </xf>
    <xf numFmtId="164" fontId="48" fillId="0" borderId="6" xfId="0" applyNumberFormat="1" applyFont="1" applyFill="1" applyBorder="1" applyAlignment="1">
      <alignment vertical="center"/>
    </xf>
    <xf numFmtId="0" fontId="66" fillId="4" borderId="0" xfId="0" applyFont="1" applyFill="1" applyBorder="1" applyAlignment="1">
      <alignment horizontal="left" vertical="center"/>
    </xf>
    <xf numFmtId="0" fontId="0" fillId="3" borderId="50" xfId="0" applyFill="1" applyBorder="1"/>
  </cellXfs>
  <cellStyles count="12">
    <cellStyle name="Dziesiętny 2" xfId="4" xr:uid="{00000000-0005-0000-0000-000000000000}"/>
    <cellStyle name="Excel Built-in Normal" xfId="5" xr:uid="{00000000-0005-0000-0000-000001000000}"/>
    <cellStyle name="Normalny" xfId="0" builtinId="0"/>
    <cellStyle name="Normalny 2" xfId="6" xr:uid="{00000000-0005-0000-0000-000003000000}"/>
    <cellStyle name="Normalny 3" xfId="1" xr:uid="{00000000-0005-0000-0000-000004000000}"/>
    <cellStyle name="Normalny 4" xfId="9" xr:uid="{00000000-0005-0000-0000-000005000000}"/>
    <cellStyle name="Normalny 5" xfId="7" xr:uid="{00000000-0005-0000-0000-000006000000}"/>
    <cellStyle name="Normalny 6" xfId="3" xr:uid="{00000000-0005-0000-0000-000007000000}"/>
    <cellStyle name="Procentowy" xfId="11" builtinId="5"/>
    <cellStyle name="Procentowy 2" xfId="8" xr:uid="{00000000-0005-0000-0000-000009000000}"/>
    <cellStyle name="Procentowy 3" xfId="10" xr:uid="{00000000-0005-0000-0000-00000A000000}"/>
    <cellStyle name="TableStyleLight1" xfId="2" xr:uid="{00000000-0005-0000-0000-00000B000000}"/>
  </cellStyles>
  <dxfs count="0"/>
  <tableStyles count="0" defaultTableStyle="TableStyleMedium2" defaultPivotStyle="PivotStyleMedium9"/>
  <colors>
    <mruColors>
      <color rgb="FFBA203C"/>
      <color rgb="FFA50021"/>
      <color rgb="FFFBE9EC"/>
      <color rgb="FFFEF8F9"/>
      <color rgb="FFF9DBE1"/>
      <color rgb="FFF5C3CD"/>
      <color rgb="FFFD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I%202016/kapita&#322;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ook%20LUBAWA%20S.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5">
          <cell r="C5">
            <v>636699.85</v>
          </cell>
        </row>
        <row r="6">
          <cell r="D6">
            <v>12128052.43</v>
          </cell>
        </row>
        <row r="7">
          <cell r="D7">
            <v>-2632754.13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BRANE DANE"/>
      <sheetName val="BILANS"/>
      <sheetName val="RZIS"/>
      <sheetName val="PP"/>
      <sheetName val="ZZWKW"/>
      <sheetName val="WSKAŹNIKI"/>
    </sheetNames>
    <sheetDataSet>
      <sheetData sheetId="0">
        <row r="4">
          <cell r="AB4" t="str">
            <v>IQ</v>
          </cell>
        </row>
      </sheetData>
      <sheetData sheetId="1">
        <row r="17">
          <cell r="B17">
            <v>167417833.25000003</v>
          </cell>
          <cell r="E17">
            <v>166455724.99000001</v>
          </cell>
          <cell r="F17">
            <v>166260038.49000001</v>
          </cell>
          <cell r="G17">
            <v>166278010.72000003</v>
          </cell>
          <cell r="H17">
            <v>166249753.94</v>
          </cell>
          <cell r="I17">
            <v>165578954.44</v>
          </cell>
          <cell r="J17">
            <v>165158969.16</v>
          </cell>
        </row>
        <row r="29">
          <cell r="B29">
            <v>28880170.779999997</v>
          </cell>
          <cell r="E29">
            <v>34469099.359999999</v>
          </cell>
          <cell r="F29">
            <v>35385189.18</v>
          </cell>
          <cell r="G29">
            <v>32016868.389999997</v>
          </cell>
          <cell r="H29">
            <v>26480103.630000003</v>
          </cell>
          <cell r="I29">
            <v>32622926.669999998</v>
          </cell>
          <cell r="J29">
            <v>22264705.620000001</v>
          </cell>
        </row>
        <row r="30">
          <cell r="B30">
            <v>196298004.03000003</v>
          </cell>
          <cell r="E30">
            <v>200924824.35000002</v>
          </cell>
          <cell r="F30">
            <v>201645227.67000002</v>
          </cell>
          <cell r="G30">
            <v>198294879.11000001</v>
          </cell>
          <cell r="H30">
            <v>192729857.56999999</v>
          </cell>
          <cell r="I30">
            <v>198201881.10999998</v>
          </cell>
          <cell r="J30">
            <v>187423674.78</v>
          </cell>
        </row>
        <row r="37">
          <cell r="B37">
            <v>169691767.73000002</v>
          </cell>
          <cell r="E37">
            <v>170169923.13000003</v>
          </cell>
          <cell r="F37">
            <v>171462273.91999999</v>
          </cell>
          <cell r="G37">
            <v>169269022.12</v>
          </cell>
          <cell r="H37">
            <v>170068820.79000002</v>
          </cell>
          <cell r="I37">
            <v>166817904.52000001</v>
          </cell>
          <cell r="J37">
            <v>165402476.00999999</v>
          </cell>
        </row>
        <row r="45">
          <cell r="B45">
            <v>5358811.24</v>
          </cell>
          <cell r="E45">
            <v>6544728.2999999998</v>
          </cell>
          <cell r="F45">
            <v>6543412.6799999997</v>
          </cell>
          <cell r="G45">
            <v>6501854.71</v>
          </cell>
          <cell r="H45">
            <v>7008926.7000000002</v>
          </cell>
          <cell r="I45">
            <v>7260359.6299999999</v>
          </cell>
          <cell r="J45">
            <v>7327103.8300000001</v>
          </cell>
        </row>
        <row r="55">
          <cell r="B55">
            <v>21247425.060000002</v>
          </cell>
          <cell r="E55">
            <v>24210172.920000002</v>
          </cell>
          <cell r="F55">
            <v>23639541.07</v>
          </cell>
          <cell r="G55">
            <v>22524002.279999997</v>
          </cell>
          <cell r="H55">
            <v>15652110.08</v>
          </cell>
          <cell r="I55">
            <v>24123616.960000001</v>
          </cell>
          <cell r="J55">
            <v>14694094.939999999</v>
          </cell>
        </row>
      </sheetData>
      <sheetData sheetId="2">
        <row r="6">
          <cell r="B6">
            <v>10349523.560000001</v>
          </cell>
          <cell r="E6">
            <v>33857548.329999998</v>
          </cell>
          <cell r="G6">
            <v>8320276.1500000004</v>
          </cell>
          <cell r="H6">
            <v>52280493.030000001</v>
          </cell>
          <cell r="I6">
            <v>26302900.109999999</v>
          </cell>
          <cell r="J6">
            <v>17827753.559999999</v>
          </cell>
          <cell r="AD6">
            <v>25977592.920000002</v>
          </cell>
        </row>
        <row r="8">
          <cell r="E8">
            <v>8175559.3899999969</v>
          </cell>
          <cell r="G8">
            <v>1933922</v>
          </cell>
          <cell r="H8">
            <v>11128411.859999999</v>
          </cell>
          <cell r="I8">
            <v>4416049.1400000006</v>
          </cell>
          <cell r="J8">
            <v>1576783.7</v>
          </cell>
          <cell r="AD8">
            <v>6712362.7199999988</v>
          </cell>
        </row>
        <row r="11">
          <cell r="B11">
            <v>-3214069.9399999995</v>
          </cell>
          <cell r="E11">
            <v>1772165.1599999964</v>
          </cell>
          <cell r="G11">
            <v>194859.65000000002</v>
          </cell>
          <cell r="H11">
            <v>3362367.15</v>
          </cell>
          <cell r="I11">
            <v>-866552.29999999935</v>
          </cell>
          <cell r="J11">
            <v>-1716708.19</v>
          </cell>
          <cell r="AD11">
            <v>4228919.4499999993</v>
          </cell>
        </row>
        <row r="14">
          <cell r="B14">
            <v>-4329850.26</v>
          </cell>
          <cell r="E14">
            <v>1415552.6699999964</v>
          </cell>
          <cell r="F14">
            <v>2936231.649999998</v>
          </cell>
          <cell r="G14">
            <v>45029.130000000034</v>
          </cell>
          <cell r="H14">
            <v>3824578.2299999995</v>
          </cell>
          <cell r="I14">
            <v>-653828.57999999938</v>
          </cell>
          <cell r="J14">
            <v>-1520029.08</v>
          </cell>
          <cell r="AD14">
            <v>4478406.8099999987</v>
          </cell>
        </row>
        <row r="17">
          <cell r="B17">
            <v>-4218270.6399999997</v>
          </cell>
          <cell r="E17">
            <v>1071710.0099999965</v>
          </cell>
          <cell r="F17">
            <v>2595582.2099999981</v>
          </cell>
          <cell r="G17">
            <v>-111553.72999999998</v>
          </cell>
          <cell r="H17">
            <v>3834694.3799999994</v>
          </cell>
          <cell r="I17">
            <v>-567265.01999999932</v>
          </cell>
          <cell r="J17">
            <v>-1490113.67</v>
          </cell>
          <cell r="AD17">
            <v>4401959.3999999994</v>
          </cell>
        </row>
        <row r="20">
          <cell r="B20">
            <v>-3394527.6399999997</v>
          </cell>
          <cell r="E20">
            <v>833562.00999999652</v>
          </cell>
          <cell r="F20">
            <v>2087920.2099999981</v>
          </cell>
          <cell r="G20">
            <v>-134357.72999999998</v>
          </cell>
          <cell r="H20">
            <v>2877751.3799999994</v>
          </cell>
          <cell r="I20">
            <v>-396419.01999999932</v>
          </cell>
          <cell r="J20">
            <v>-1420329.67</v>
          </cell>
          <cell r="AD20">
            <v>3274170.3999999994</v>
          </cell>
        </row>
      </sheetData>
      <sheetData sheetId="3">
        <row r="9">
          <cell r="E9">
            <v>1194821.4199999995</v>
          </cell>
          <cell r="F9">
            <v>793542.95</v>
          </cell>
          <cell r="G9">
            <v>395131.63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3"/>
  <sheetViews>
    <sheetView showGridLines="0" tabSelected="1" zoomScale="60" zoomScaleNormal="60" zoomScaleSheetLayoutView="40" zoomScalePageLayoutView="60" workbookViewId="0">
      <pane xSplit="1" topLeftCell="B1" activePane="topRight" state="frozen"/>
      <selection pane="topRight" sqref="A1:O1"/>
    </sheetView>
  </sheetViews>
  <sheetFormatPr defaultColWidth="8.85546875" defaultRowHeight="15"/>
  <cols>
    <col min="1" max="1" width="52.5703125" style="247" customWidth="1"/>
    <col min="2" max="2" width="21.7109375" style="247" customWidth="1"/>
    <col min="3" max="3" width="12.7109375" style="247" customWidth="1"/>
    <col min="4" max="4" width="21.7109375" style="247" customWidth="1"/>
    <col min="5" max="5" width="12.7109375" style="247" customWidth="1"/>
    <col min="6" max="6" width="21.7109375" style="247" customWidth="1"/>
    <col min="7" max="7" width="12.7109375" style="247" customWidth="1"/>
    <col min="8" max="8" width="21.7109375" style="247" customWidth="1"/>
    <col min="9" max="9" width="12.7109375" style="247" customWidth="1"/>
    <col min="10" max="10" width="21.7109375" style="247" customWidth="1"/>
    <col min="11" max="11" width="12.7109375" style="247" customWidth="1"/>
    <col min="12" max="12" width="21.7109375" style="247" customWidth="1"/>
    <col min="13" max="13" width="12.7109375" style="247" customWidth="1"/>
    <col min="14" max="14" width="21.7109375" style="247" customWidth="1"/>
    <col min="15" max="15" width="12.7109375" style="247" customWidth="1"/>
    <col min="16" max="35" width="21.7109375" style="247" customWidth="1"/>
    <col min="36" max="16384" width="8.85546875" style="247"/>
  </cols>
  <sheetData>
    <row r="1" spans="1:35" ht="50.1" customHeight="1">
      <c r="A1" s="460" t="s">
        <v>159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246"/>
      <c r="Q1" s="246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</row>
    <row r="2" spans="1:35" ht="27.95" customHeight="1">
      <c r="S2" s="276"/>
      <c r="T2" s="276"/>
      <c r="U2" s="276"/>
      <c r="V2" s="276"/>
    </row>
    <row r="3" spans="1:35" ht="31.5">
      <c r="A3" s="459" t="s">
        <v>146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248"/>
      <c r="S3" s="276"/>
      <c r="T3" s="276"/>
      <c r="U3" s="276"/>
      <c r="V3" s="276"/>
    </row>
    <row r="4" spans="1:35" ht="27.95" customHeight="1">
      <c r="A4" s="249"/>
      <c r="B4" s="250">
        <v>2017</v>
      </c>
      <c r="C4" s="477" t="s">
        <v>116</v>
      </c>
      <c r="D4" s="480">
        <v>2016</v>
      </c>
      <c r="E4" s="407" t="s">
        <v>116</v>
      </c>
      <c r="F4" s="250">
        <v>2015</v>
      </c>
      <c r="G4" s="404" t="s">
        <v>116</v>
      </c>
      <c r="H4" s="251">
        <v>2014</v>
      </c>
      <c r="I4" s="407" t="s">
        <v>116</v>
      </c>
      <c r="J4" s="250">
        <v>2013</v>
      </c>
      <c r="K4" s="404" t="s">
        <v>116</v>
      </c>
      <c r="L4" s="251">
        <v>2012</v>
      </c>
      <c r="O4" s="252"/>
      <c r="Q4" s="252"/>
      <c r="R4" s="252"/>
      <c r="T4" s="276"/>
      <c r="U4" s="276"/>
      <c r="V4" s="276"/>
      <c r="W4" s="276"/>
      <c r="X4" s="276"/>
    </row>
    <row r="5" spans="1:35" ht="27.95" customHeight="1">
      <c r="A5" s="253" t="s">
        <v>2</v>
      </c>
      <c r="B5" s="254">
        <f>'RZIS '!E6</f>
        <v>230801459.26999998</v>
      </c>
      <c r="C5" s="478">
        <f>(B5/D5)-1</f>
        <v>-0.1575872588176207</v>
      </c>
      <c r="D5" s="481">
        <v>273976695.73000002</v>
      </c>
      <c r="E5" s="408">
        <f>(D5/F5)-1</f>
        <v>0.14037909140237925</v>
      </c>
      <c r="F5" s="254">
        <v>240250542.81999999</v>
      </c>
      <c r="G5" s="405">
        <f>(F5/H5)-1</f>
        <v>1.7438855078962368E-2</v>
      </c>
      <c r="H5" s="300">
        <v>236132659.59</v>
      </c>
      <c r="I5" s="408">
        <f>(H5/J5)-1</f>
        <v>0.12017111037167005</v>
      </c>
      <c r="J5" s="254">
        <v>210800526.28</v>
      </c>
      <c r="K5" s="405">
        <f>(J5/L5)-1</f>
        <v>0.10896032587603721</v>
      </c>
      <c r="L5" s="255">
        <v>190088429.09999999</v>
      </c>
      <c r="O5" s="256"/>
      <c r="Q5" s="257"/>
      <c r="R5" s="257"/>
      <c r="T5" s="276"/>
      <c r="U5" s="276"/>
      <c r="V5" s="276"/>
      <c r="W5" s="276"/>
      <c r="X5" s="276"/>
    </row>
    <row r="6" spans="1:35" ht="27.95" customHeight="1">
      <c r="A6" s="258" t="s">
        <v>3</v>
      </c>
      <c r="B6" s="259">
        <f>'RZIS '!E8</f>
        <v>50424032.247875661</v>
      </c>
      <c r="C6" s="479">
        <f t="shared" ref="C6:C12" si="0">(B6/D6)-1</f>
        <v>-0.18695540559205115</v>
      </c>
      <c r="D6" s="482">
        <v>62018778.053120136</v>
      </c>
      <c r="E6" s="409">
        <f t="shared" ref="E6:E19" si="1">(D6/F6)-1</f>
        <v>0.75342662801125981</v>
      </c>
      <c r="F6" s="259">
        <v>35370044.609999999</v>
      </c>
      <c r="G6" s="406">
        <f t="shared" ref="G6:G12" si="2">(F6/H6)-1</f>
        <v>-0.29004421704418781</v>
      </c>
      <c r="H6" s="301">
        <v>49820066.909999996</v>
      </c>
      <c r="I6" s="409">
        <f t="shared" ref="I6:I19" si="3">(H6/J6)-1</f>
        <v>0.2334853468283975</v>
      </c>
      <c r="J6" s="259">
        <v>40389670.649999999</v>
      </c>
      <c r="K6" s="406">
        <f t="shared" ref="K6:K19" si="4">(J6/L6)-1</f>
        <v>2.1608784102219225E-2</v>
      </c>
      <c r="L6" s="260">
        <v>39535359.600000001</v>
      </c>
      <c r="O6" s="256"/>
      <c r="Q6" s="261"/>
      <c r="R6" s="257"/>
      <c r="T6" s="276"/>
      <c r="U6" s="276"/>
      <c r="V6" s="276"/>
      <c r="W6" s="276"/>
      <c r="X6" s="276"/>
    </row>
    <row r="7" spans="1:35" ht="27.95" customHeight="1">
      <c r="A7" s="258" t="s">
        <v>4</v>
      </c>
      <c r="B7" s="259">
        <f>'RZIS '!E11</f>
        <v>8710627.3678756505</v>
      </c>
      <c r="C7" s="479">
        <f t="shared" si="0"/>
        <v>-0.60854278624962554</v>
      </c>
      <c r="D7" s="482">
        <v>22251799.333120141</v>
      </c>
      <c r="E7" s="410" t="s">
        <v>203</v>
      </c>
      <c r="F7" s="259">
        <v>-89300.67</v>
      </c>
      <c r="G7" s="406">
        <f t="shared" si="2"/>
        <v>-1.005974464402116</v>
      </c>
      <c r="H7" s="301">
        <v>14947058.68</v>
      </c>
      <c r="I7" s="409">
        <f t="shared" si="3"/>
        <v>0.68783550179256925</v>
      </c>
      <c r="J7" s="259">
        <v>8855755.5899999999</v>
      </c>
      <c r="K7" s="406">
        <f t="shared" si="4"/>
        <v>0.12878904541077696</v>
      </c>
      <c r="L7" s="260">
        <v>7845359.2599999998</v>
      </c>
      <c r="O7" s="256"/>
      <c r="Q7" s="257"/>
      <c r="R7" s="257"/>
      <c r="T7" s="276"/>
      <c r="U7" s="276"/>
      <c r="V7" s="276"/>
      <c r="W7" s="276"/>
      <c r="X7" s="276"/>
    </row>
    <row r="8" spans="1:35" ht="27.95" customHeight="1">
      <c r="A8" s="258" t="s">
        <v>143</v>
      </c>
      <c r="B8" s="259">
        <f>'RZIS '!E14</f>
        <v>5577192.3578756507</v>
      </c>
      <c r="C8" s="479">
        <f t="shared" si="0"/>
        <v>-0.7075448284983854</v>
      </c>
      <c r="D8" s="482">
        <v>19070247.003120139</v>
      </c>
      <c r="E8" s="409">
        <f t="shared" si="1"/>
        <v>2.0332008614389041</v>
      </c>
      <c r="F8" s="259">
        <v>6287169.1900000004</v>
      </c>
      <c r="G8" s="406">
        <f t="shared" si="2"/>
        <v>-0.62674573511336762</v>
      </c>
      <c r="H8" s="301">
        <v>16844199.199999999</v>
      </c>
      <c r="I8" s="409">
        <f t="shared" si="3"/>
        <v>0.95018128401756297</v>
      </c>
      <c r="J8" s="259">
        <v>8637247.9000000004</v>
      </c>
      <c r="K8" s="406">
        <f t="shared" si="4"/>
        <v>-0.19933473291018722</v>
      </c>
      <c r="L8" s="260">
        <v>10787589.09</v>
      </c>
      <c r="O8" s="256"/>
      <c r="Q8" s="257"/>
      <c r="R8" s="257"/>
      <c r="T8" s="276"/>
      <c r="U8" s="276"/>
      <c r="V8" s="276"/>
      <c r="W8" s="276"/>
      <c r="X8" s="276"/>
    </row>
    <row r="9" spans="1:35" ht="27.95" customHeight="1">
      <c r="A9" s="258" t="s">
        <v>5</v>
      </c>
      <c r="B9" s="259">
        <v>12086020.66</v>
      </c>
      <c r="C9" s="479">
        <f t="shared" si="0"/>
        <v>8.6995324924382222E-2</v>
      </c>
      <c r="D9" s="482">
        <v>11118742.079999998</v>
      </c>
      <c r="E9" s="409">
        <f t="shared" si="1"/>
        <v>0.1778852845647072</v>
      </c>
      <c r="F9" s="259">
        <v>9439579.75</v>
      </c>
      <c r="G9" s="406">
        <f t="shared" si="2"/>
        <v>0.11702433597327877</v>
      </c>
      <c r="H9" s="301">
        <v>8450648.25</v>
      </c>
      <c r="I9" s="409">
        <f t="shared" si="3"/>
        <v>0.12081939098415262</v>
      </c>
      <c r="J9" s="259">
        <v>7539705.6100000003</v>
      </c>
      <c r="K9" s="406">
        <f t="shared" si="4"/>
        <v>2.728516527845426E-2</v>
      </c>
      <c r="L9" s="260">
        <v>7339447.5700000003</v>
      </c>
      <c r="O9" s="256"/>
      <c r="Q9" s="257"/>
      <c r="R9" s="257"/>
      <c r="T9" s="276"/>
      <c r="U9" s="276"/>
      <c r="V9" s="276"/>
      <c r="W9" s="276"/>
      <c r="X9" s="276"/>
    </row>
    <row r="10" spans="1:35" ht="27.95" customHeight="1">
      <c r="A10" s="258" t="s">
        <v>1</v>
      </c>
      <c r="B10" s="259">
        <f>B8+B9</f>
        <v>17663213.017875649</v>
      </c>
      <c r="C10" s="479">
        <f t="shared" si="0"/>
        <v>-0.41491207376162675</v>
      </c>
      <c r="D10" s="482">
        <f>D8+D9</f>
        <v>30188989.083120137</v>
      </c>
      <c r="E10" s="409">
        <f t="shared" si="1"/>
        <v>0.91959502871800369</v>
      </c>
      <c r="F10" s="259">
        <f>F8+F9</f>
        <v>15726748.940000001</v>
      </c>
      <c r="G10" s="406">
        <f t="shared" si="2"/>
        <v>-0.3782627481313392</v>
      </c>
      <c r="H10" s="301">
        <v>25294847.449999999</v>
      </c>
      <c r="I10" s="409">
        <f t="shared" si="3"/>
        <v>0.56363479899745328</v>
      </c>
      <c r="J10" s="259">
        <v>16176953.510000002</v>
      </c>
      <c r="K10" s="406">
        <f t="shared" si="4"/>
        <v>-0.10757870613806098</v>
      </c>
      <c r="L10" s="260">
        <v>18127036.66</v>
      </c>
      <c r="O10" s="256"/>
      <c r="Q10" s="257"/>
      <c r="R10" s="257"/>
      <c r="T10" s="276"/>
      <c r="U10" s="276"/>
      <c r="V10" s="276"/>
      <c r="W10" s="276"/>
      <c r="X10" s="276"/>
    </row>
    <row r="11" spans="1:35" ht="27.95" customHeight="1">
      <c r="A11" s="258" t="s">
        <v>6</v>
      </c>
      <c r="B11" s="259">
        <f>'RZIS '!E18</f>
        <v>4371954.3078756519</v>
      </c>
      <c r="C11" s="479">
        <f t="shared" si="0"/>
        <v>-0.71272709297933279</v>
      </c>
      <c r="D11" s="482">
        <v>15218818.764420139</v>
      </c>
      <c r="E11" s="409">
        <f t="shared" si="1"/>
        <v>2.8475684018397573</v>
      </c>
      <c r="F11" s="259">
        <v>3955438.13</v>
      </c>
      <c r="G11" s="406">
        <f t="shared" si="2"/>
        <v>-0.70780225272747122</v>
      </c>
      <c r="H11" s="301">
        <v>13536853.609999999</v>
      </c>
      <c r="I11" s="409">
        <f t="shared" si="3"/>
        <v>1.4056450449571085</v>
      </c>
      <c r="J11" s="259">
        <v>5627120.1100000003</v>
      </c>
      <c r="K11" s="406">
        <f t="shared" si="4"/>
        <v>-6.3593410560116692E-2</v>
      </c>
      <c r="L11" s="260">
        <v>6009270.0899999999</v>
      </c>
      <c r="O11" s="256"/>
      <c r="Q11" s="257"/>
      <c r="R11" s="257"/>
      <c r="T11" s="276"/>
      <c r="U11" s="276"/>
      <c r="V11" s="276"/>
      <c r="W11" s="276"/>
      <c r="X11" s="276"/>
    </row>
    <row r="12" spans="1:35" ht="27.95" customHeight="1">
      <c r="A12" s="258" t="s">
        <v>7</v>
      </c>
      <c r="B12" s="259">
        <f>'RZIS '!E21</f>
        <v>2321426.0678756516</v>
      </c>
      <c r="C12" s="479">
        <f t="shared" si="0"/>
        <v>-0.79275565813111926</v>
      </c>
      <c r="D12" s="482">
        <v>11201396.607220139</v>
      </c>
      <c r="E12" s="409">
        <f t="shared" si="1"/>
        <v>3.2546307228545261</v>
      </c>
      <c r="F12" s="259">
        <v>2632754.13</v>
      </c>
      <c r="G12" s="406">
        <f t="shared" si="2"/>
        <v>-0.75678997378870239</v>
      </c>
      <c r="H12" s="301">
        <v>10825023.01</v>
      </c>
      <c r="I12" s="409">
        <f t="shared" si="3"/>
        <v>2.9616093278153199</v>
      </c>
      <c r="J12" s="259">
        <v>2732481.2</v>
      </c>
      <c r="K12" s="406">
        <f t="shared" si="4"/>
        <v>-0.51550317267283763</v>
      </c>
      <c r="L12" s="260">
        <v>5639833.0099999998</v>
      </c>
      <c r="O12" s="256"/>
      <c r="Q12" s="257"/>
      <c r="R12" s="257"/>
      <c r="T12" s="277"/>
      <c r="U12" s="277"/>
      <c r="V12" s="277"/>
      <c r="W12" s="276"/>
      <c r="X12" s="276"/>
    </row>
    <row r="13" spans="1:35" ht="27.95" customHeight="1">
      <c r="A13" s="258"/>
      <c r="B13" s="259"/>
      <c r="C13" s="479"/>
      <c r="D13" s="482"/>
      <c r="E13" s="409"/>
      <c r="F13" s="259"/>
      <c r="G13" s="406"/>
      <c r="H13" s="301"/>
      <c r="I13" s="409"/>
      <c r="J13" s="259"/>
      <c r="K13" s="406"/>
      <c r="L13" s="260"/>
      <c r="O13" s="256"/>
      <c r="Q13" s="257"/>
      <c r="R13" s="257"/>
      <c r="T13" s="277"/>
      <c r="U13" s="277"/>
      <c r="V13" s="277"/>
      <c r="W13" s="276"/>
      <c r="X13" s="276"/>
    </row>
    <row r="14" spans="1:35" ht="27.95" customHeight="1">
      <c r="A14" s="258" t="s">
        <v>8</v>
      </c>
      <c r="B14" s="259">
        <f>BILANS!E31</f>
        <v>381565406.4691757</v>
      </c>
      <c r="C14" s="479">
        <f t="shared" ref="C14:C19" si="5">(B14/D14)-1</f>
        <v>5.7228663260896484E-2</v>
      </c>
      <c r="D14" s="482">
        <f>D15+D16</f>
        <v>360910954.96056873</v>
      </c>
      <c r="E14" s="409">
        <f t="shared" si="1"/>
        <v>9.795592405114073E-3</v>
      </c>
      <c r="F14" s="259">
        <v>357409913.13</v>
      </c>
      <c r="G14" s="406">
        <f t="shared" ref="G14:G19" si="6">(F14/H14)-1</f>
        <v>1.7822927444557379E-2</v>
      </c>
      <c r="H14" s="301">
        <v>351151367.77999997</v>
      </c>
      <c r="I14" s="409">
        <f t="shared" si="3"/>
        <v>0.14214600760226359</v>
      </c>
      <c r="J14" s="259">
        <v>307448754.75</v>
      </c>
      <c r="K14" s="406">
        <f t="shared" si="4"/>
        <v>5.2304055349112977E-2</v>
      </c>
      <c r="L14" s="260">
        <v>292167224.08999997</v>
      </c>
      <c r="O14" s="256"/>
      <c r="Q14" s="257"/>
      <c r="R14" s="257"/>
      <c r="T14" s="277"/>
      <c r="U14" s="277"/>
      <c r="V14" s="277"/>
      <c r="W14" s="276"/>
      <c r="X14" s="276"/>
    </row>
    <row r="15" spans="1:35" ht="27.95" customHeight="1">
      <c r="A15" s="262" t="s">
        <v>9</v>
      </c>
      <c r="B15" s="259">
        <f>BILANS!E17</f>
        <v>237449188.10129997</v>
      </c>
      <c r="C15" s="479">
        <f t="shared" si="5"/>
        <v>4.028539924650909E-2</v>
      </c>
      <c r="D15" s="482">
        <v>228253889.05129996</v>
      </c>
      <c r="E15" s="409">
        <f t="shared" si="1"/>
        <v>1.7018916825668473E-2</v>
      </c>
      <c r="F15" s="259">
        <v>224434261.03</v>
      </c>
      <c r="G15" s="406">
        <f t="shared" si="6"/>
        <v>0.12026392525050045</v>
      </c>
      <c r="H15" s="301">
        <v>200340523.31</v>
      </c>
      <c r="I15" s="409">
        <f t="shared" si="3"/>
        <v>5.7818973262298234E-2</v>
      </c>
      <c r="J15" s="259">
        <v>189390177.69</v>
      </c>
      <c r="K15" s="406">
        <f t="shared" si="4"/>
        <v>-4.4914312019109781E-3</v>
      </c>
      <c r="L15" s="260">
        <v>190244648.44</v>
      </c>
      <c r="O15" s="256"/>
      <c r="Q15" s="257"/>
      <c r="R15" s="257"/>
      <c r="T15" s="276"/>
      <c r="U15" s="276"/>
      <c r="V15" s="276"/>
      <c r="W15" s="276"/>
      <c r="X15" s="276"/>
    </row>
    <row r="16" spans="1:35" ht="27.95" customHeight="1">
      <c r="A16" s="258" t="s">
        <v>10</v>
      </c>
      <c r="B16" s="259">
        <f>BILANS!E30</f>
        <v>144116218.36787573</v>
      </c>
      <c r="C16" s="479">
        <f t="shared" si="5"/>
        <v>8.6381772279242819E-2</v>
      </c>
      <c r="D16" s="482">
        <v>132657065.90926875</v>
      </c>
      <c r="E16" s="409">
        <f t="shared" si="1"/>
        <v>-2.3958234887365704E-3</v>
      </c>
      <c r="F16" s="259">
        <v>132975652.09999999</v>
      </c>
      <c r="G16" s="406">
        <f t="shared" si="6"/>
        <v>-0.11826200186517666</v>
      </c>
      <c r="H16" s="301">
        <v>150810844.47</v>
      </c>
      <c r="I16" s="409">
        <f t="shared" si="3"/>
        <v>0.27742387063800167</v>
      </c>
      <c r="J16" s="259">
        <v>118058577.06</v>
      </c>
      <c r="K16" s="406">
        <f t="shared" si="4"/>
        <v>0.15831626415535927</v>
      </c>
      <c r="L16" s="260">
        <v>101922575.65000001</v>
      </c>
      <c r="O16" s="256"/>
      <c r="Q16" s="257"/>
      <c r="R16" s="257"/>
      <c r="T16" s="276"/>
      <c r="U16" s="276"/>
      <c r="V16" s="276"/>
      <c r="W16" s="276"/>
      <c r="X16" s="276"/>
    </row>
    <row r="17" spans="1:35" ht="27.95" customHeight="1">
      <c r="A17" s="258" t="s">
        <v>11</v>
      </c>
      <c r="B17" s="259">
        <f>BILANS!E40</f>
        <v>211905628.1991756</v>
      </c>
      <c r="C17" s="479">
        <f t="shared" si="5"/>
        <v>5.4318829016326564E-3</v>
      </c>
      <c r="D17" s="482">
        <v>210760800.21216869</v>
      </c>
      <c r="E17" s="409">
        <f t="shared" si="1"/>
        <v>6.0409388487312921E-2</v>
      </c>
      <c r="F17" s="259">
        <v>198754181.63999999</v>
      </c>
      <c r="G17" s="406">
        <f t="shared" si="6"/>
        <v>-6.2017532052692781E-3</v>
      </c>
      <c r="H17" s="301">
        <v>199994498.16</v>
      </c>
      <c r="I17" s="409">
        <f t="shared" si="3"/>
        <v>8.1336648690025548E-2</v>
      </c>
      <c r="J17" s="259">
        <v>184951188.33000001</v>
      </c>
      <c r="K17" s="406">
        <f t="shared" si="4"/>
        <v>3.2515793236094215E-2</v>
      </c>
      <c r="L17" s="260">
        <v>179126740.28</v>
      </c>
      <c r="O17" s="256"/>
      <c r="Q17" s="257"/>
      <c r="R17" s="257"/>
    </row>
    <row r="18" spans="1:35" ht="27.95" customHeight="1">
      <c r="A18" s="258" t="s">
        <v>12</v>
      </c>
      <c r="B18" s="259">
        <f>BILANS!E48</f>
        <v>41385810.950000003</v>
      </c>
      <c r="C18" s="479">
        <f t="shared" si="5"/>
        <v>-1.8384596970375089E-2</v>
      </c>
      <c r="D18" s="482">
        <v>42160922.518399999</v>
      </c>
      <c r="E18" s="409">
        <f t="shared" si="1"/>
        <v>-0.10178707846680513</v>
      </c>
      <c r="F18" s="259">
        <v>46938672.899999999</v>
      </c>
      <c r="G18" s="406">
        <f t="shared" si="6"/>
        <v>-1.2633995497281836E-2</v>
      </c>
      <c r="H18" s="301">
        <v>47539284</v>
      </c>
      <c r="I18" s="409">
        <f t="shared" si="3"/>
        <v>1.6504545662541892E-2</v>
      </c>
      <c r="J18" s="259">
        <v>46767409.159999996</v>
      </c>
      <c r="K18" s="406">
        <f t="shared" si="4"/>
        <v>0.51722381924580008</v>
      </c>
      <c r="L18" s="260">
        <v>30824330.969999999</v>
      </c>
      <c r="O18" s="256"/>
      <c r="Q18" s="257"/>
      <c r="R18" s="257"/>
    </row>
    <row r="19" spans="1:35" ht="27.95" customHeight="1">
      <c r="A19" s="258" t="s">
        <v>13</v>
      </c>
      <c r="B19" s="259">
        <f>BILANS!E58</f>
        <v>128273967.32000001</v>
      </c>
      <c r="C19" s="479">
        <f t="shared" si="5"/>
        <v>0.18784034918219139</v>
      </c>
      <c r="D19" s="482">
        <f>D14-D17-D18</f>
        <v>107989232.23000003</v>
      </c>
      <c r="E19" s="409">
        <f t="shared" si="1"/>
        <v>-3.3368461424329476E-2</v>
      </c>
      <c r="F19" s="259">
        <v>111717058.59</v>
      </c>
      <c r="G19" s="406">
        <f t="shared" si="6"/>
        <v>7.8166972541740654E-2</v>
      </c>
      <c r="H19" s="301">
        <v>103617585.62</v>
      </c>
      <c r="I19" s="409">
        <f t="shared" si="3"/>
        <v>0.36824733196123827</v>
      </c>
      <c r="J19" s="259">
        <v>75730157.260000005</v>
      </c>
      <c r="K19" s="406">
        <f t="shared" si="4"/>
        <v>-7.8889553402265444E-2</v>
      </c>
      <c r="L19" s="260">
        <v>82216152.840000004</v>
      </c>
      <c r="O19" s="256"/>
      <c r="Q19" s="257"/>
      <c r="R19" s="257"/>
    </row>
    <row r="20" spans="1:35" ht="27.95" customHeight="1">
      <c r="J20" s="263"/>
      <c r="K20" s="263"/>
      <c r="L20" s="264"/>
      <c r="M20" s="264"/>
    </row>
    <row r="21" spans="1:35" ht="45.75" customHeight="1">
      <c r="A21" s="459" t="s">
        <v>145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248"/>
      <c r="N21" s="265"/>
      <c r="O21" s="265"/>
      <c r="P21" s="265"/>
      <c r="Q21" s="265"/>
    </row>
    <row r="22" spans="1:35" ht="27.95" customHeight="1">
      <c r="A22" s="266"/>
      <c r="B22" s="278" t="s">
        <v>215</v>
      </c>
      <c r="C22" s="449" t="s">
        <v>116</v>
      </c>
      <c r="D22" s="22" t="s">
        <v>212</v>
      </c>
      <c r="E22" s="294" t="s">
        <v>116</v>
      </c>
      <c r="F22" s="278" t="s">
        <v>211</v>
      </c>
      <c r="G22" s="280" t="s">
        <v>116</v>
      </c>
      <c r="H22" s="22" t="s">
        <v>210</v>
      </c>
      <c r="I22" s="294" t="s">
        <v>116</v>
      </c>
      <c r="J22" s="278" t="s">
        <v>207</v>
      </c>
      <c r="K22" s="281" t="s">
        <v>116</v>
      </c>
      <c r="L22" s="22" t="s">
        <v>201</v>
      </c>
      <c r="M22" s="294" t="s">
        <v>116</v>
      </c>
      <c r="N22" s="279" t="s">
        <v>199</v>
      </c>
      <c r="O22" s="280" t="s">
        <v>116</v>
      </c>
      <c r="P22" s="267" t="s">
        <v>205</v>
      </c>
      <c r="Q22" s="279" t="s">
        <v>195</v>
      </c>
      <c r="R22" s="267" t="s">
        <v>193</v>
      </c>
      <c r="S22" s="279" t="s">
        <v>191</v>
      </c>
      <c r="T22" s="267" t="s">
        <v>189</v>
      </c>
      <c r="U22" s="279" t="s">
        <v>187</v>
      </c>
      <c r="V22" s="267" t="s">
        <v>183</v>
      </c>
      <c r="W22" s="304" t="s">
        <v>163</v>
      </c>
      <c r="X22" s="267" t="s">
        <v>117</v>
      </c>
      <c r="Y22" s="279" t="s">
        <v>14</v>
      </c>
      <c r="Z22" s="267" t="s">
        <v>15</v>
      </c>
      <c r="AA22" s="304" t="s">
        <v>16</v>
      </c>
      <c r="AB22" s="267" t="s">
        <v>17</v>
      </c>
      <c r="AC22" s="279" t="s">
        <v>18</v>
      </c>
      <c r="AD22" s="267" t="s">
        <v>19</v>
      </c>
      <c r="AE22" s="282" t="s">
        <v>20</v>
      </c>
      <c r="AF22" s="267" t="s">
        <v>21</v>
      </c>
      <c r="AG22" s="279" t="s">
        <v>22</v>
      </c>
      <c r="AH22" s="267" t="s">
        <v>23</v>
      </c>
      <c r="AI22" s="279" t="s">
        <v>24</v>
      </c>
    </row>
    <row r="23" spans="1:35" ht="27.95" customHeight="1">
      <c r="A23" s="268" t="s">
        <v>2</v>
      </c>
      <c r="B23" s="450">
        <f>'RZIS '!B6</f>
        <v>172381977.41999999</v>
      </c>
      <c r="C23" s="451">
        <f>(B23/J23)-1</f>
        <v>7.5897587328788152E-3</v>
      </c>
      <c r="D23" s="295">
        <f>'RZIS '!C6</f>
        <v>130721907.97000003</v>
      </c>
      <c r="E23" s="296">
        <f>(D23/L23)-1</f>
        <v>7.1135813765632383E-2</v>
      </c>
      <c r="F23" s="283">
        <f>'RZIS '!D6</f>
        <v>70092410.280000001</v>
      </c>
      <c r="G23" s="284">
        <f>(F23/N23)-1</f>
        <v>0.18900502668406749</v>
      </c>
      <c r="H23" s="295">
        <f>'RZIS '!E6</f>
        <v>230801459.26999998</v>
      </c>
      <c r="I23" s="296">
        <f>H23/P23-1</f>
        <v>-0.1575872588176207</v>
      </c>
      <c r="J23" s="285">
        <f>'RZIS '!F6</f>
        <v>171083494.97</v>
      </c>
      <c r="K23" s="286">
        <f>(J23/Q23)-1</f>
        <v>-9.0470442586959909E-2</v>
      </c>
      <c r="L23" s="295">
        <f>'RZIS '!G6</f>
        <v>122040460.5</v>
      </c>
      <c r="M23" s="296">
        <f>L23/R23-1</f>
        <v>-0.16066962591684097</v>
      </c>
      <c r="N23" s="283">
        <f>'RZIS '!H6</f>
        <v>58950474.310000017</v>
      </c>
      <c r="O23" s="284">
        <f>(N23/S23)-1</f>
        <v>-0.1510088057849186</v>
      </c>
      <c r="P23" s="295">
        <f>D5</f>
        <v>273976695.73000002</v>
      </c>
      <c r="Q23" s="285">
        <f>'RZIS '!J6</f>
        <v>188101083.21999997</v>
      </c>
      <c r="R23" s="295">
        <f>'RZIS '!K6</f>
        <v>145402173.28999999</v>
      </c>
      <c r="S23" s="283">
        <f>'RZIS '!L6</f>
        <v>69435907.829999998</v>
      </c>
      <c r="T23" s="295">
        <f>'RZIS '!M6</f>
        <v>240195613.97</v>
      </c>
      <c r="U23" s="285">
        <f>'RZIS '!N6</f>
        <v>181844761.28</v>
      </c>
      <c r="V23" s="295">
        <f>'RZIS '!O6</f>
        <v>139189268.88</v>
      </c>
      <c r="W23" s="305">
        <v>68176646.359999999</v>
      </c>
      <c r="X23" s="300">
        <v>236132659.59</v>
      </c>
      <c r="Y23" s="285">
        <v>189746508.30000001</v>
      </c>
      <c r="Z23" s="255">
        <v>141115681.33000001</v>
      </c>
      <c r="AA23" s="305">
        <v>70254992.079999998</v>
      </c>
      <c r="AB23" s="255">
        <v>210800526.28</v>
      </c>
      <c r="AC23" s="285">
        <v>166442197.66</v>
      </c>
      <c r="AD23" s="255">
        <v>128555990.25</v>
      </c>
      <c r="AE23" s="287">
        <v>59222835.649999999</v>
      </c>
      <c r="AF23" s="255">
        <v>190088429.09999999</v>
      </c>
      <c r="AG23" s="285">
        <v>150801072.02000001</v>
      </c>
      <c r="AH23" s="255">
        <v>115834433.11</v>
      </c>
      <c r="AI23" s="285">
        <v>54813978.990000002</v>
      </c>
    </row>
    <row r="24" spans="1:35" ht="27.95" customHeight="1">
      <c r="A24" s="258" t="s">
        <v>3</v>
      </c>
      <c r="B24" s="452">
        <f>'RZIS '!B8</f>
        <v>33743231.479999989</v>
      </c>
      <c r="C24" s="453">
        <f t="shared" ref="C24:C37" si="7">(B24/J24)-1</f>
        <v>-0.13636300871553186</v>
      </c>
      <c r="D24" s="297">
        <f>'RZIS '!C8</f>
        <v>27827489.248924181</v>
      </c>
      <c r="E24" s="298">
        <f t="shared" ref="E24:E30" si="8">(D24/L24)-1</f>
        <v>5.519193705930836E-2</v>
      </c>
      <c r="F24" s="288">
        <f>'RZIS '!D8</f>
        <v>18325403.470485784</v>
      </c>
      <c r="G24" s="289">
        <f t="shared" ref="G24:G27" si="9">(F24/N24)-1</f>
        <v>0.36552670393643827</v>
      </c>
      <c r="H24" s="297">
        <f>'RZIS '!E8</f>
        <v>50424032.247875661</v>
      </c>
      <c r="I24" s="298">
        <f t="shared" ref="I24:I30" si="10">H24/P24-1</f>
        <v>-0.18695540559205115</v>
      </c>
      <c r="J24" s="290">
        <f>'RZIS '!F8</f>
        <v>39071081.739811108</v>
      </c>
      <c r="K24" s="291">
        <f>(J24/Q24)-1</f>
        <v>8.0205817863965967E-2</v>
      </c>
      <c r="L24" s="297">
        <f>'RZIS '!G8</f>
        <v>26371969.185507625</v>
      </c>
      <c r="M24" s="298">
        <f>L24/R24-1</f>
        <v>-0.16616059912943471</v>
      </c>
      <c r="N24" s="288">
        <f>'RZIS '!H8</f>
        <v>13420025.707046725</v>
      </c>
      <c r="O24" s="289">
        <f>(N24/S24)-1</f>
        <v>-3.2100051305326338E-2</v>
      </c>
      <c r="P24" s="297">
        <f>D6</f>
        <v>62018778.053120136</v>
      </c>
      <c r="Q24" s="290">
        <f>'RZIS '!J8</f>
        <v>36170034.537558347</v>
      </c>
      <c r="R24" s="297">
        <f>'RZIS '!K8</f>
        <v>31627156.449999988</v>
      </c>
      <c r="S24" s="288">
        <f>'RZIS '!L8</f>
        <v>13865096</v>
      </c>
      <c r="T24" s="297">
        <f>'RZIS '!M8</f>
        <v>35449928.129999995</v>
      </c>
      <c r="U24" s="290">
        <f>'RZIS '!N8</f>
        <v>27556192.949999988</v>
      </c>
      <c r="V24" s="297">
        <f>'RZIS '!O8</f>
        <v>25949636.390000001</v>
      </c>
      <c r="W24" s="306">
        <v>12013272.76</v>
      </c>
      <c r="X24" s="301">
        <v>49820066.909999996</v>
      </c>
      <c r="Y24" s="290">
        <v>43876790.060000002</v>
      </c>
      <c r="Z24" s="260">
        <v>35090188.020000003</v>
      </c>
      <c r="AA24" s="306">
        <v>14338808.68</v>
      </c>
      <c r="AB24" s="260">
        <v>40389670.649999999</v>
      </c>
      <c r="AC24" s="290">
        <v>36014837.859999999</v>
      </c>
      <c r="AD24" s="260">
        <v>29862212.93</v>
      </c>
      <c r="AE24" s="292">
        <v>14586163.91</v>
      </c>
      <c r="AF24" s="260">
        <v>39535359.600000001</v>
      </c>
      <c r="AG24" s="290">
        <v>30881396.780000001</v>
      </c>
      <c r="AH24" s="260">
        <v>25489620.649999999</v>
      </c>
      <c r="AI24" s="290">
        <v>12625470.779999999</v>
      </c>
    </row>
    <row r="25" spans="1:35" ht="27.95" customHeight="1">
      <c r="A25" s="258" t="s">
        <v>4</v>
      </c>
      <c r="B25" s="452">
        <f>'RZIS '!B11</f>
        <v>5695098.579999987</v>
      </c>
      <c r="C25" s="453">
        <f t="shared" si="7"/>
        <v>-0.38039804658573784</v>
      </c>
      <c r="D25" s="297">
        <f>'RZIS '!C11</f>
        <v>8640639.9189241808</v>
      </c>
      <c r="E25" s="298">
        <f t="shared" si="8"/>
        <v>0.2998734821477298</v>
      </c>
      <c r="F25" s="288">
        <f>'RZIS '!D11</f>
        <v>8829020.980485782</v>
      </c>
      <c r="G25" s="289">
        <f t="shared" si="9"/>
        <v>1.0755269086229706</v>
      </c>
      <c r="H25" s="297">
        <f>'RZIS '!E11</f>
        <v>8710627.3678756505</v>
      </c>
      <c r="I25" s="298">
        <f t="shared" si="10"/>
        <v>-0.60854278624962554</v>
      </c>
      <c r="J25" s="290">
        <f>'RZIS '!F11</f>
        <v>9191543.9398111105</v>
      </c>
      <c r="K25" s="291">
        <f>(J25/Q25)-1</f>
        <v>-4.7387636171375314E-2</v>
      </c>
      <c r="L25" s="297">
        <f>'RZIS '!G11</f>
        <v>6647293.0155076254</v>
      </c>
      <c r="M25" s="298">
        <f>L25/R25-1</f>
        <v>-0.52190479799497891</v>
      </c>
      <c r="N25" s="288">
        <f>'RZIS '!H11</f>
        <v>4253869.6770467246</v>
      </c>
      <c r="O25" s="289">
        <f>(N25/S25)-1</f>
        <v>-0.22395244850681917</v>
      </c>
      <c r="P25" s="297">
        <f>D7</f>
        <v>22251799.333120141</v>
      </c>
      <c r="Q25" s="290">
        <f>'RZIS '!J11</f>
        <v>9648776.6575583443</v>
      </c>
      <c r="R25" s="297">
        <f>'RZIS '!K11</f>
        <v>13903701.579999987</v>
      </c>
      <c r="S25" s="288">
        <f>'RZIS '!L11</f>
        <v>5481454.9299999997</v>
      </c>
      <c r="T25" s="297">
        <f>'RZIS '!M11</f>
        <v>-1170922.1700000055</v>
      </c>
      <c r="U25" s="290">
        <f>'RZIS '!N11</f>
        <v>511887.96999998763</v>
      </c>
      <c r="V25" s="297">
        <f>'RZIS '!O11</f>
        <v>7649710.6799999997</v>
      </c>
      <c r="W25" s="306">
        <v>3207921.25</v>
      </c>
      <c r="X25" s="301">
        <v>14947058.68</v>
      </c>
      <c r="Y25" s="290">
        <v>18137310.68</v>
      </c>
      <c r="Z25" s="260">
        <v>18161909.469999999</v>
      </c>
      <c r="AA25" s="306">
        <v>6367864.8300000001</v>
      </c>
      <c r="AB25" s="260">
        <v>8855755.5899999999</v>
      </c>
      <c r="AC25" s="290">
        <v>12578971.74</v>
      </c>
      <c r="AD25" s="260">
        <v>13877210.23</v>
      </c>
      <c r="AE25" s="292">
        <v>6946021.0899999999</v>
      </c>
      <c r="AF25" s="260">
        <v>7845359.2599999998</v>
      </c>
      <c r="AG25" s="290">
        <v>6941755.6699999999</v>
      </c>
      <c r="AH25" s="260">
        <v>8419122.2100000009</v>
      </c>
      <c r="AI25" s="290">
        <v>4263335.24</v>
      </c>
    </row>
    <row r="26" spans="1:35" ht="27.95" customHeight="1">
      <c r="A26" s="258" t="s">
        <v>144</v>
      </c>
      <c r="B26" s="452">
        <f>'RZIS '!B14</f>
        <v>6307284.4899999872</v>
      </c>
      <c r="C26" s="453">
        <f t="shared" si="7"/>
        <v>-0.12212921047642533</v>
      </c>
      <c r="D26" s="297">
        <f>'RZIS '!C14</f>
        <v>9656230.6389241889</v>
      </c>
      <c r="E26" s="298">
        <f t="shared" si="8"/>
        <v>1.0925834153638183</v>
      </c>
      <c r="F26" s="288">
        <f>'RZIS '!D14</f>
        <v>9135927.1404857896</v>
      </c>
      <c r="G26" s="289">
        <f>(F26/N26)-1</f>
        <v>1.392894581163632</v>
      </c>
      <c r="H26" s="297">
        <f>'RZIS '!E14</f>
        <v>5577192.3578756507</v>
      </c>
      <c r="I26" s="298">
        <f t="shared" si="10"/>
        <v>-0.7075448284983854</v>
      </c>
      <c r="J26" s="290">
        <f>'RZIS '!F14</f>
        <v>7184752.6598111158</v>
      </c>
      <c r="K26" s="291">
        <f>(J26/Q26)-1</f>
        <v>-0.36210114975813534</v>
      </c>
      <c r="L26" s="297">
        <f>'RZIS '!G14</f>
        <v>4614502.1355076302</v>
      </c>
      <c r="M26" s="298">
        <f>L26/R26-1</f>
        <v>-0.6874222033032853</v>
      </c>
      <c r="N26" s="288">
        <f>'RZIS '!H14</f>
        <v>3817939.6670467253</v>
      </c>
      <c r="O26" s="289">
        <f>(N26/S26)-1</f>
        <v>-0.32348748960260199</v>
      </c>
      <c r="P26" s="297">
        <f>D8</f>
        <v>19070247.003120139</v>
      </c>
      <c r="Q26" s="290">
        <f>'RZIS '!J14</f>
        <v>11263153.487558344</v>
      </c>
      <c r="R26" s="297">
        <f>'RZIS '!K14</f>
        <v>14762731.659999987</v>
      </c>
      <c r="S26" s="288">
        <f>'RZIS '!L14</f>
        <v>5643561.0699999994</v>
      </c>
      <c r="T26" s="297">
        <f>'RZIS '!M14</f>
        <v>6136921.0799999945</v>
      </c>
      <c r="U26" s="290">
        <f>'RZIS '!N14</f>
        <v>6950274.2699999874</v>
      </c>
      <c r="V26" s="297">
        <f>'RZIS '!O14</f>
        <v>14399594.390000001</v>
      </c>
      <c r="W26" s="306">
        <v>3012736.99</v>
      </c>
      <c r="X26" s="301">
        <v>16844199.199999999</v>
      </c>
      <c r="Y26" s="290">
        <v>18365857.190000001</v>
      </c>
      <c r="Z26" s="260">
        <v>19451682.870000001</v>
      </c>
      <c r="AA26" s="306">
        <v>7073010.3499999996</v>
      </c>
      <c r="AB26" s="260">
        <v>8637247.9000000004</v>
      </c>
      <c r="AC26" s="290">
        <v>13181086.890000001</v>
      </c>
      <c r="AD26" s="260">
        <v>13822560.07</v>
      </c>
      <c r="AE26" s="292">
        <v>5842310.7300000004</v>
      </c>
      <c r="AF26" s="260">
        <v>10787589.09</v>
      </c>
      <c r="AG26" s="290">
        <v>9099741.9800000004</v>
      </c>
      <c r="AH26" s="260">
        <v>9871605.9600000009</v>
      </c>
      <c r="AI26" s="290">
        <v>5160072.24</v>
      </c>
    </row>
    <row r="27" spans="1:35" ht="27.95" customHeight="1">
      <c r="A27" s="258" t="s">
        <v>5</v>
      </c>
      <c r="B27" s="452">
        <v>9640614.8699999992</v>
      </c>
      <c r="C27" s="453">
        <f t="shared" si="7"/>
        <v>7.3773744918048001E-2</v>
      </c>
      <c r="D27" s="297">
        <v>6410747.4199999999</v>
      </c>
      <c r="E27" s="298">
        <f t="shared" si="8"/>
        <v>9.6288155689106647E-2</v>
      </c>
      <c r="F27" s="288">
        <v>3141222.78</v>
      </c>
      <c r="G27" s="289">
        <f t="shared" si="9"/>
        <v>7.4148586889508206E-2</v>
      </c>
      <c r="H27" s="297">
        <v>5847684.6500000004</v>
      </c>
      <c r="I27" s="298">
        <f t="shared" si="10"/>
        <v>-0.47406958377795183</v>
      </c>
      <c r="J27" s="290">
        <f>PP!F10</f>
        <v>8978255.3499999996</v>
      </c>
      <c r="K27" s="291">
        <f>(J27/Q27)-1</f>
        <v>9.2980764420424578E-2</v>
      </c>
      <c r="L27" s="297">
        <v>5847684.6500000004</v>
      </c>
      <c r="M27" s="298">
        <f>L27/R27-1</f>
        <v>8.2464486873112808E-2</v>
      </c>
      <c r="N27" s="288">
        <f>PP!H10</f>
        <v>2924383.85</v>
      </c>
      <c r="O27" s="289">
        <f>(N27/S27)-1</f>
        <v>0.10073459270954066</v>
      </c>
      <c r="P27" s="297">
        <f>D9</f>
        <v>11118742.079999998</v>
      </c>
      <c r="Q27" s="290">
        <f>PP!J10</f>
        <v>8214467.8499999987</v>
      </c>
      <c r="R27" s="297">
        <f>PP!K10</f>
        <v>5402195.3799999999</v>
      </c>
      <c r="S27" s="288">
        <f>PP!L10</f>
        <v>2656756.56</v>
      </c>
      <c r="T27" s="297">
        <f>PP!M10</f>
        <v>10252491.57</v>
      </c>
      <c r="U27" s="290">
        <f>PP!N10</f>
        <v>7317821.8300000001</v>
      </c>
      <c r="V27" s="297">
        <f>PP!O10</f>
        <v>4618426.26</v>
      </c>
      <c r="W27" s="306">
        <v>2196372.7000000002</v>
      </c>
      <c r="X27" s="301">
        <v>8450648.25</v>
      </c>
      <c r="Y27" s="290">
        <v>6264847.0999999996</v>
      </c>
      <c r="Z27" s="260">
        <v>4044210.84</v>
      </c>
      <c r="AA27" s="306">
        <v>1976224.55</v>
      </c>
      <c r="AB27" s="260">
        <v>7539705.6100000003</v>
      </c>
      <c r="AC27" s="290">
        <v>5687527.5800000001</v>
      </c>
      <c r="AD27" s="260">
        <v>3691139.03</v>
      </c>
      <c r="AE27" s="292">
        <v>1816935.48</v>
      </c>
      <c r="AF27" s="260">
        <v>7339447.5700000003</v>
      </c>
      <c r="AG27" s="290">
        <v>5467993.4000000004</v>
      </c>
      <c r="AH27" s="260">
        <v>3618135.23</v>
      </c>
      <c r="AI27" s="290">
        <v>1799243.09</v>
      </c>
    </row>
    <row r="28" spans="1:35" ht="27.95" customHeight="1">
      <c r="A28" s="258" t="s">
        <v>1</v>
      </c>
      <c r="B28" s="452">
        <f>B26+B27</f>
        <v>15947899.359999986</v>
      </c>
      <c r="C28" s="453">
        <f t="shared" si="7"/>
        <v>-1.3308701553606528E-2</v>
      </c>
      <c r="D28" s="297">
        <f>D26+D27</f>
        <v>16066978.058924189</v>
      </c>
      <c r="E28" s="298">
        <f t="shared" si="8"/>
        <v>0.53571890736842853</v>
      </c>
      <c r="F28" s="288">
        <f>F26+F27</f>
        <v>12277149.920485789</v>
      </c>
      <c r="G28" s="289">
        <f>(F28/N28)-1</f>
        <v>0.82090786498827484</v>
      </c>
      <c r="H28" s="297">
        <f>H26+H27</f>
        <v>11424877.007875651</v>
      </c>
      <c r="I28" s="298">
        <f t="shared" si="10"/>
        <v>-0.62155483324005201</v>
      </c>
      <c r="J28" s="288">
        <f t="shared" ref="J28" si="11">J26+J27</f>
        <v>16163008.009811115</v>
      </c>
      <c r="K28" s="291">
        <f>(J28/Q28)-1</f>
        <v>-0.17017546805654959</v>
      </c>
      <c r="L28" s="297">
        <f>L26+L27</f>
        <v>10462186.785507631</v>
      </c>
      <c r="M28" s="298">
        <f>L28/R28-1</f>
        <v>-0.48116912276675228</v>
      </c>
      <c r="N28" s="288">
        <f>N26+N27</f>
        <v>6742323.5170467254</v>
      </c>
      <c r="O28" s="289">
        <f>(N28/S28)-1</f>
        <v>-0.18770295094758604</v>
      </c>
      <c r="P28" s="297">
        <f>P26+P27</f>
        <v>30188989.083120137</v>
      </c>
      <c r="Q28" s="288">
        <f t="shared" ref="Q28" si="12">Q26+Q27</f>
        <v>19477621.337558344</v>
      </c>
      <c r="R28" s="297">
        <f>R26+R27</f>
        <v>20164927.039999988</v>
      </c>
      <c r="S28" s="288">
        <f>S26+S27</f>
        <v>8300317.629999999</v>
      </c>
      <c r="T28" s="297">
        <f>T26+T27</f>
        <v>16389412.649999995</v>
      </c>
      <c r="U28" s="288">
        <f t="shared" ref="U28" si="13">U26+U27</f>
        <v>14268096.099999987</v>
      </c>
      <c r="V28" s="297">
        <f>V26+V27</f>
        <v>19018020.649999999</v>
      </c>
      <c r="W28" s="306">
        <f>W26+W27</f>
        <v>5209109.6900000004</v>
      </c>
      <c r="X28" s="270">
        <f t="shared" ref="X28:AI28" si="14">X26+X27</f>
        <v>25294847.449999999</v>
      </c>
      <c r="Y28" s="288">
        <f t="shared" si="14"/>
        <v>24630704.289999999</v>
      </c>
      <c r="Z28" s="270">
        <f t="shared" si="14"/>
        <v>23495893.710000001</v>
      </c>
      <c r="AA28" s="306">
        <f t="shared" si="14"/>
        <v>9049234.9000000004</v>
      </c>
      <c r="AB28" s="270">
        <f t="shared" si="14"/>
        <v>16176953.510000002</v>
      </c>
      <c r="AC28" s="288">
        <f t="shared" si="14"/>
        <v>18868614.469999999</v>
      </c>
      <c r="AD28" s="270">
        <f t="shared" si="14"/>
        <v>17513699.100000001</v>
      </c>
      <c r="AE28" s="293">
        <f t="shared" si="14"/>
        <v>7659246.2100000009</v>
      </c>
      <c r="AF28" s="270">
        <f t="shared" si="14"/>
        <v>18127036.66</v>
      </c>
      <c r="AG28" s="288">
        <f t="shared" si="14"/>
        <v>14567735.380000001</v>
      </c>
      <c r="AH28" s="270">
        <f t="shared" si="14"/>
        <v>13489741.190000001</v>
      </c>
      <c r="AI28" s="288">
        <f t="shared" si="14"/>
        <v>6959315.3300000001</v>
      </c>
    </row>
    <row r="29" spans="1:35" ht="27.95" customHeight="1">
      <c r="A29" s="258" t="s">
        <v>6</v>
      </c>
      <c r="B29" s="452">
        <f>'RZIS '!B18</f>
        <v>2810026.0899999873</v>
      </c>
      <c r="C29" s="453">
        <f t="shared" si="7"/>
        <v>-0.54431770762096965</v>
      </c>
      <c r="D29" s="297">
        <f>'RZIS '!C18</f>
        <v>6884631.5189241907</v>
      </c>
      <c r="E29" s="298">
        <f t="shared" si="8"/>
        <v>0.41012192320049445</v>
      </c>
      <c r="F29" s="288">
        <f>'RZIS '!D18</f>
        <v>7826641.4004857903</v>
      </c>
      <c r="G29" s="289">
        <f t="shared" ref="G29:G30" si="15">(F29/N29)-1</f>
        <v>0.91722229012261791</v>
      </c>
      <c r="H29" s="297">
        <f>'RZIS '!E18</f>
        <v>4371954.3078756519</v>
      </c>
      <c r="I29" s="298">
        <f t="shared" si="10"/>
        <v>-0.71272709297933279</v>
      </c>
      <c r="J29" s="290">
        <f>'RZIS '!F18</f>
        <v>6166634.3788111163</v>
      </c>
      <c r="K29" s="291">
        <f>(J29/Q29)-1</f>
        <v>-0.30226694503524287</v>
      </c>
      <c r="L29" s="297">
        <f>'RZIS '!G18</f>
        <v>4882295.2155076293</v>
      </c>
      <c r="M29" s="298">
        <f>L29/R29-1</f>
        <v>-0.60595078198914054</v>
      </c>
      <c r="N29" s="288">
        <f>'RZIS '!H18</f>
        <v>4082281.6638467256</v>
      </c>
      <c r="O29" s="289">
        <f>(N29/S29)-1</f>
        <v>-0.19627980325398653</v>
      </c>
      <c r="P29" s="297">
        <f>D11</f>
        <v>15218818.764420139</v>
      </c>
      <c r="Q29" s="290">
        <f>'RZIS '!J18</f>
        <v>8838099.8075583447</v>
      </c>
      <c r="R29" s="297">
        <f>'RZIS '!K18</f>
        <v>12390064.469999988</v>
      </c>
      <c r="S29" s="288">
        <f>'RZIS '!L18</f>
        <v>5079232.3999999994</v>
      </c>
      <c r="T29" s="297">
        <f>'RZIS '!M18</f>
        <v>3804241.7899999944</v>
      </c>
      <c r="U29" s="290">
        <f>'RZIS '!N18</f>
        <v>5669108.749999987</v>
      </c>
      <c r="V29" s="297">
        <f>'RZIS '!O18</f>
        <v>13837954</v>
      </c>
      <c r="W29" s="306">
        <v>2985020.21</v>
      </c>
      <c r="X29" s="301">
        <v>13536853.609999999</v>
      </c>
      <c r="Y29" s="290">
        <v>16265979.529999999</v>
      </c>
      <c r="Z29" s="260">
        <v>17723515.600000001</v>
      </c>
      <c r="AA29" s="306">
        <v>6560341.2800000003</v>
      </c>
      <c r="AB29" s="260">
        <v>5627120.1100000003</v>
      </c>
      <c r="AC29" s="290">
        <v>10590304.25</v>
      </c>
      <c r="AD29" s="260">
        <v>11784139.609999999</v>
      </c>
      <c r="AE29" s="292">
        <v>5046721.43</v>
      </c>
      <c r="AF29" s="260">
        <v>6009270.0899999999</v>
      </c>
      <c r="AG29" s="290">
        <v>5695036.3099999996</v>
      </c>
      <c r="AH29" s="260">
        <v>7450125.9299999997</v>
      </c>
      <c r="AI29" s="290">
        <v>4196060.5599999996</v>
      </c>
    </row>
    <row r="30" spans="1:35" ht="27.95" customHeight="1">
      <c r="A30" s="258" t="s">
        <v>7</v>
      </c>
      <c r="B30" s="452">
        <f>'RZIS '!B21</f>
        <v>1854355.0899999873</v>
      </c>
      <c r="C30" s="453">
        <f t="shared" si="7"/>
        <v>-0.57329864037162193</v>
      </c>
      <c r="D30" s="297">
        <f>'RZIS '!C21</f>
        <v>5028163.5189241907</v>
      </c>
      <c r="E30" s="298">
        <f t="shared" si="8"/>
        <v>0.39732411053124772</v>
      </c>
      <c r="F30" s="288">
        <f>'RZIS '!D21</f>
        <v>6267908.4004857903</v>
      </c>
      <c r="G30" s="289">
        <f t="shared" si="15"/>
        <v>0.98028127673879006</v>
      </c>
      <c r="H30" s="297">
        <f>'RZIS '!E21</f>
        <v>2321426.0678756516</v>
      </c>
      <c r="I30" s="298">
        <f t="shared" si="10"/>
        <v>-0.79275565813111926</v>
      </c>
      <c r="J30" s="290">
        <f>'RZIS '!F21</f>
        <v>4345791.3788111163</v>
      </c>
      <c r="K30" s="291">
        <f>(J30/Q30)-1</f>
        <v>-0.34884656642875389</v>
      </c>
      <c r="L30" s="297">
        <f>'RZIS '!G21</f>
        <v>3598423.2155076293</v>
      </c>
      <c r="M30" s="298">
        <f>L30/R30-1</f>
        <v>-0.63210134052570766</v>
      </c>
      <c r="N30" s="288">
        <f>'RZIS '!H21</f>
        <v>3165160.6638467256</v>
      </c>
      <c r="O30" s="289">
        <f>(N30/S30)-1</f>
        <v>-0.23133722905849341</v>
      </c>
      <c r="P30" s="297">
        <f>D12</f>
        <v>11201396.607220139</v>
      </c>
      <c r="Q30" s="290">
        <f>'RZIS '!J21</f>
        <v>6673989.8075583447</v>
      </c>
      <c r="R30" s="297">
        <f>'RZIS '!K21</f>
        <v>9781017.4699999876</v>
      </c>
      <c r="S30" s="288">
        <f>'RZIS '!L21</f>
        <v>4117749.3999999994</v>
      </c>
      <c r="T30" s="297">
        <f>'RZIS '!M21</f>
        <v>2211037.7899999944</v>
      </c>
      <c r="U30" s="290">
        <f>'RZIS '!N21</f>
        <v>2437744.749999987</v>
      </c>
      <c r="V30" s="297">
        <f>'RZIS '!O21</f>
        <v>9420346</v>
      </c>
      <c r="W30" s="306">
        <v>2433536.21</v>
      </c>
      <c r="X30" s="301">
        <v>10825023.01</v>
      </c>
      <c r="Y30" s="290">
        <v>12916531.529999999</v>
      </c>
      <c r="Z30" s="260">
        <v>14112460.6</v>
      </c>
      <c r="AA30" s="306">
        <v>4828559.28</v>
      </c>
      <c r="AB30" s="260">
        <v>2732481.2</v>
      </c>
      <c r="AC30" s="290">
        <v>6772364.7300000004</v>
      </c>
      <c r="AD30" s="260">
        <v>8150110.1500000004</v>
      </c>
      <c r="AE30" s="292">
        <v>3418685.37</v>
      </c>
      <c r="AF30" s="260">
        <v>5639833.0099999998</v>
      </c>
      <c r="AG30" s="290">
        <v>3483208.13</v>
      </c>
      <c r="AH30" s="260">
        <v>4945106.42</v>
      </c>
      <c r="AI30" s="290">
        <v>2842426.27</v>
      </c>
    </row>
    <row r="31" spans="1:35" ht="27.95" customHeight="1">
      <c r="A31" s="258"/>
      <c r="B31" s="454"/>
      <c r="C31" s="453"/>
      <c r="D31" s="299"/>
      <c r="E31" s="298"/>
      <c r="F31" s="288"/>
      <c r="G31" s="289"/>
      <c r="H31" s="299"/>
      <c r="I31" s="298"/>
      <c r="J31" s="290"/>
      <c r="K31" s="291"/>
      <c r="L31" s="299"/>
      <c r="M31" s="298"/>
      <c r="N31" s="288"/>
      <c r="O31" s="289"/>
      <c r="P31" s="299"/>
      <c r="Q31" s="290"/>
      <c r="R31" s="299"/>
      <c r="S31" s="288"/>
      <c r="T31" s="299"/>
      <c r="U31" s="290"/>
      <c r="V31" s="299"/>
      <c r="W31" s="306"/>
      <c r="X31" s="301"/>
      <c r="Y31" s="290"/>
      <c r="Z31" s="260"/>
      <c r="AA31" s="306"/>
      <c r="AB31" s="260"/>
      <c r="AC31" s="290"/>
      <c r="AD31" s="260"/>
      <c r="AE31" s="292"/>
      <c r="AF31" s="260"/>
      <c r="AG31" s="290"/>
      <c r="AH31" s="260"/>
      <c r="AI31" s="290"/>
    </row>
    <row r="32" spans="1:35" ht="27.95" customHeight="1">
      <c r="A32" s="258" t="s">
        <v>8</v>
      </c>
      <c r="B32" s="452">
        <f>BILANS!B31</f>
        <v>393399096.81000006</v>
      </c>
      <c r="C32" s="453">
        <f>(B32/J32)-1</f>
        <v>2.9763487581874415E-2</v>
      </c>
      <c r="D32" s="297">
        <f>BILANS!C31</f>
        <v>408414284.87809986</v>
      </c>
      <c r="E32" s="298">
        <f>(D32/L32)-1</f>
        <v>6.5827535101829815E-2</v>
      </c>
      <c r="F32" s="288">
        <f>BILANS!D31</f>
        <v>411592033.93966138</v>
      </c>
      <c r="G32" s="289">
        <f t="shared" ref="E32:G37" si="16">(F32/N32)-1</f>
        <v>6.4615659060174524E-2</v>
      </c>
      <c r="H32" s="297">
        <f>BILANS!E31</f>
        <v>381565406.4691757</v>
      </c>
      <c r="I32" s="298">
        <f t="shared" ref="I32:I37" si="17">H32/P32-1</f>
        <v>5.7228663260896484E-2</v>
      </c>
      <c r="J32" s="290">
        <f>BILANS!F31</f>
        <v>382028593.51111114</v>
      </c>
      <c r="K32" s="291">
        <f>(J32/Q32)-1</f>
        <v>3.1173910491167467E-2</v>
      </c>
      <c r="L32" s="297">
        <f>BILANS!G31</f>
        <v>383189842.0968076</v>
      </c>
      <c r="M32" s="298">
        <f>L32/R32-1</f>
        <v>1.7205206698718278E-3</v>
      </c>
      <c r="N32" s="288">
        <f>BILANS!H31</f>
        <v>386610914.87514675</v>
      </c>
      <c r="O32" s="289">
        <f>(N32/S32)-1</f>
        <v>-6.440008266314412E-3</v>
      </c>
      <c r="P32" s="297">
        <f>P33+P34</f>
        <v>360910954.96056873</v>
      </c>
      <c r="Q32" s="290">
        <f>BILANS!J31</f>
        <v>370479304.82370698</v>
      </c>
      <c r="R32" s="297">
        <f>BILANS!K31</f>
        <v>382531688.42000002</v>
      </c>
      <c r="S32" s="288">
        <f>BILANS!L31</f>
        <v>389116830.48000002</v>
      </c>
      <c r="T32" s="297">
        <f>BILANS!M31</f>
        <v>354877392.49000001</v>
      </c>
      <c r="U32" s="290">
        <f>BILANS!N31</f>
        <v>357434193.40999997</v>
      </c>
      <c r="V32" s="297">
        <f>BILANS!O31</f>
        <v>364805086.13</v>
      </c>
      <c r="W32" s="306">
        <v>380992424.24000001</v>
      </c>
      <c r="X32" s="301">
        <v>351151367.77999997</v>
      </c>
      <c r="Y32" s="290">
        <v>343204281.51999998</v>
      </c>
      <c r="Z32" s="260">
        <v>349891429.37</v>
      </c>
      <c r="AA32" s="306">
        <v>349282331.81</v>
      </c>
      <c r="AB32" s="260">
        <v>307448754.75</v>
      </c>
      <c r="AC32" s="290">
        <v>293979653.92000002</v>
      </c>
      <c r="AD32" s="260">
        <v>302888485.00999999</v>
      </c>
      <c r="AE32" s="292">
        <v>321698876.67000002</v>
      </c>
      <c r="AF32" s="260">
        <v>292167224.08999997</v>
      </c>
      <c r="AG32" s="290">
        <v>283247704.67000002</v>
      </c>
      <c r="AH32" s="260">
        <v>299304796.69999999</v>
      </c>
      <c r="AI32" s="290">
        <v>302780126.38</v>
      </c>
    </row>
    <row r="33" spans="1:35" ht="27.95" customHeight="1">
      <c r="A33" s="258" t="s">
        <v>9</v>
      </c>
      <c r="B33" s="452">
        <f>BILANS!B17</f>
        <v>244227125.75</v>
      </c>
      <c r="C33" s="453">
        <f t="shared" si="7"/>
        <v>5.480568153046117E-2</v>
      </c>
      <c r="D33" s="297">
        <f>BILANS!C17</f>
        <v>243589191.87129998</v>
      </c>
      <c r="E33" s="298">
        <f t="shared" si="16"/>
        <v>6.3926899301225415E-2</v>
      </c>
      <c r="F33" s="288">
        <f>BILANS!D17</f>
        <v>239251463.10129997</v>
      </c>
      <c r="G33" s="289">
        <f t="shared" si="16"/>
        <v>4.954091395796878E-2</v>
      </c>
      <c r="H33" s="297">
        <f>BILANS!E17</f>
        <v>237449188.10129997</v>
      </c>
      <c r="I33" s="298">
        <f t="shared" si="17"/>
        <v>4.028539924650909E-2</v>
      </c>
      <c r="J33" s="290">
        <f>BILANS!F17</f>
        <v>231537552.39129996</v>
      </c>
      <c r="K33" s="291">
        <f>(J33/Q33)-1</f>
        <v>2.3416744902478248E-2</v>
      </c>
      <c r="L33" s="297">
        <f>BILANS!G17</f>
        <v>228952940.31130001</v>
      </c>
      <c r="M33" s="298">
        <f>L33/R33-1</f>
        <v>1.4599302023273086E-2</v>
      </c>
      <c r="N33" s="288">
        <f>BILANS!H17</f>
        <v>227958205.26810002</v>
      </c>
      <c r="O33" s="289">
        <f>(N33/S33)-1</f>
        <v>1.4330740734051384E-2</v>
      </c>
      <c r="P33" s="297">
        <f>D15</f>
        <v>228253889.05129996</v>
      </c>
      <c r="Q33" s="290">
        <f>BILANS!J17</f>
        <v>226239753.79000005</v>
      </c>
      <c r="R33" s="297">
        <f>BILANS!K17</f>
        <v>225658483.95000002</v>
      </c>
      <c r="S33" s="288">
        <f>BILANS!L17</f>
        <v>224737549.71000001</v>
      </c>
      <c r="T33" s="297">
        <f>BILANS!M17</f>
        <v>222525340.06999999</v>
      </c>
      <c r="U33" s="290">
        <f>BILANS!N17</f>
        <v>215046526.09</v>
      </c>
      <c r="V33" s="297">
        <f>BILANS!O17</f>
        <v>205067557.59999999</v>
      </c>
      <c r="W33" s="306">
        <v>203443986.25999999</v>
      </c>
      <c r="X33" s="301">
        <v>200340523.31</v>
      </c>
      <c r="Y33" s="290">
        <v>208583856.13999999</v>
      </c>
      <c r="Z33" s="260">
        <v>205236083.56</v>
      </c>
      <c r="AA33" s="306">
        <v>197638867.38</v>
      </c>
      <c r="AB33" s="260">
        <v>189390177.69</v>
      </c>
      <c r="AC33" s="290">
        <v>191969820.59</v>
      </c>
      <c r="AD33" s="260">
        <v>189947432.06999999</v>
      </c>
      <c r="AE33" s="292">
        <v>188081378.08000001</v>
      </c>
      <c r="AF33" s="260">
        <v>190244648.44</v>
      </c>
      <c r="AG33" s="290">
        <v>187095180.59</v>
      </c>
      <c r="AH33" s="260">
        <v>186981527.18000001</v>
      </c>
      <c r="AI33" s="290">
        <v>187972828.19</v>
      </c>
    </row>
    <row r="34" spans="1:35" ht="27.95" customHeight="1">
      <c r="A34" s="258" t="s">
        <v>10</v>
      </c>
      <c r="B34" s="452">
        <f>BILANS!B30</f>
        <v>149171971.06000003</v>
      </c>
      <c r="C34" s="453">
        <f t="shared" si="7"/>
        <v>-8.7651068794253328E-3</v>
      </c>
      <c r="D34" s="297">
        <f>BILANS!C30</f>
        <v>164825093.00679988</v>
      </c>
      <c r="E34" s="298">
        <f t="shared" si="16"/>
        <v>6.8648884272953792E-2</v>
      </c>
      <c r="F34" s="288">
        <f>BILANS!D30</f>
        <v>172340570.83836144</v>
      </c>
      <c r="G34" s="289">
        <f t="shared" si="16"/>
        <v>8.6275622176368971E-2</v>
      </c>
      <c r="H34" s="297">
        <f>BILANS!E30</f>
        <v>144116218.36787573</v>
      </c>
      <c r="I34" s="298">
        <f t="shared" si="17"/>
        <v>8.6381772279242819E-2</v>
      </c>
      <c r="J34" s="290">
        <f>BILANS!F30</f>
        <v>150491041.11981118</v>
      </c>
      <c r="K34" s="291">
        <f>(J34/Q34)-1</f>
        <v>4.334102568471887E-2</v>
      </c>
      <c r="L34" s="297">
        <f>BILANS!G30</f>
        <v>154236901.78550762</v>
      </c>
      <c r="M34" s="298">
        <f>L34/R34-1</f>
        <v>-1.6805309060901719E-2</v>
      </c>
      <c r="N34" s="288">
        <f>BILANS!H30</f>
        <v>158652709.60704669</v>
      </c>
      <c r="O34" s="289">
        <f>(N34/S34)-1</f>
        <v>-3.4837548480127212E-2</v>
      </c>
      <c r="P34" s="297">
        <f>D16</f>
        <v>132657065.90926875</v>
      </c>
      <c r="Q34" s="290">
        <f>BILANS!J30</f>
        <v>144239551.03370696</v>
      </c>
      <c r="R34" s="297">
        <f>BILANS!K30</f>
        <v>156873204.47</v>
      </c>
      <c r="S34" s="288">
        <f>BILANS!L30</f>
        <v>164379280.77000001</v>
      </c>
      <c r="T34" s="297">
        <f>BILANS!M30</f>
        <v>132352052.41999999</v>
      </c>
      <c r="U34" s="290">
        <f>BILANS!N30</f>
        <v>142387667.31999999</v>
      </c>
      <c r="V34" s="297">
        <f>BILANS!O30</f>
        <v>159737528.53</v>
      </c>
      <c r="W34" s="306">
        <v>177548437.97999999</v>
      </c>
      <c r="X34" s="301">
        <v>150810844.47</v>
      </c>
      <c r="Y34" s="290">
        <v>134620425.38</v>
      </c>
      <c r="Z34" s="260">
        <v>144655345.81</v>
      </c>
      <c r="AA34" s="306">
        <v>151643464.43000001</v>
      </c>
      <c r="AB34" s="260">
        <v>118058577.06</v>
      </c>
      <c r="AC34" s="290">
        <v>102009833.33</v>
      </c>
      <c r="AD34" s="260">
        <v>112941052.94</v>
      </c>
      <c r="AE34" s="292">
        <v>133617498.59</v>
      </c>
      <c r="AF34" s="260">
        <v>101922575.65000001</v>
      </c>
      <c r="AG34" s="290">
        <v>96152524.079999998</v>
      </c>
      <c r="AH34" s="260">
        <v>112323269.52</v>
      </c>
      <c r="AI34" s="290">
        <v>114807298.19</v>
      </c>
    </row>
    <row r="35" spans="1:35" ht="27.95" customHeight="1">
      <c r="A35" s="258" t="s">
        <v>11</v>
      </c>
      <c r="B35" s="452">
        <f>BILANS!B40</f>
        <v>213863076.84</v>
      </c>
      <c r="C35" s="453">
        <f t="shared" si="7"/>
        <v>-4.8891451131164443E-3</v>
      </c>
      <c r="D35" s="297">
        <f>BILANS!C40</f>
        <v>216838772.30809984</v>
      </c>
      <c r="E35" s="298">
        <f t="shared" si="16"/>
        <v>9.326491606045817E-3</v>
      </c>
      <c r="F35" s="288">
        <f>BILANS!D40</f>
        <v>218130919.3796615</v>
      </c>
      <c r="G35" s="289">
        <f t="shared" si="16"/>
        <v>1.8757204159360441E-2</v>
      </c>
      <c r="H35" s="297">
        <f>BILANS!E40</f>
        <v>211905628.1991756</v>
      </c>
      <c r="I35" s="298">
        <f t="shared" si="17"/>
        <v>5.4318829016326564E-3</v>
      </c>
      <c r="J35" s="290">
        <f>BILANS!F40</f>
        <v>214913821.70111117</v>
      </c>
      <c r="K35" s="291">
        <f>(J35/Q35)-1</f>
        <v>4.5195217858253089E-2</v>
      </c>
      <c r="L35" s="297">
        <f>BILANS!G40</f>
        <v>214835114.41680759</v>
      </c>
      <c r="M35" s="298">
        <f>L35/R35-1</f>
        <v>2.8434028967699199E-2</v>
      </c>
      <c r="N35" s="288">
        <f>BILANS!H40</f>
        <v>214114725.75514674</v>
      </c>
      <c r="O35" s="289">
        <f>(N35/S35)-1</f>
        <v>5.5300555520755301E-2</v>
      </c>
      <c r="P35" s="297">
        <f>D17</f>
        <v>210760800.21216869</v>
      </c>
      <c r="Q35" s="290">
        <f>BILANS!J40</f>
        <v>205620747.23370701</v>
      </c>
      <c r="R35" s="297">
        <f>BILANS!K40</f>
        <v>208895377.20999998</v>
      </c>
      <c r="S35" s="288">
        <f>BILANS!L40</f>
        <v>202894544.72</v>
      </c>
      <c r="T35" s="297">
        <f>BILANS!M40</f>
        <v>200609359.35999998</v>
      </c>
      <c r="U35" s="290">
        <f>BILANS!N40</f>
        <v>202444898.54999998</v>
      </c>
      <c r="V35" s="297">
        <f>BILANS!O40</f>
        <v>208912833.19999999</v>
      </c>
      <c r="W35" s="306">
        <v>202615814.66</v>
      </c>
      <c r="X35" s="301">
        <v>199994498.16</v>
      </c>
      <c r="Y35" s="290">
        <v>198485220.43000001</v>
      </c>
      <c r="Z35" s="260">
        <v>199595917.19999999</v>
      </c>
      <c r="AA35" s="306">
        <v>190663379.93000001</v>
      </c>
      <c r="AB35" s="260">
        <v>184951188.33000001</v>
      </c>
      <c r="AC35" s="290">
        <v>188390898.59999999</v>
      </c>
      <c r="AD35" s="260">
        <v>187532240.99000001</v>
      </c>
      <c r="AE35" s="292">
        <v>182270780.52000001</v>
      </c>
      <c r="AF35" s="260">
        <v>179126740.28</v>
      </c>
      <c r="AG35" s="290">
        <v>176699557.36000001</v>
      </c>
      <c r="AH35" s="260">
        <v>177930652.08000001</v>
      </c>
      <c r="AI35" s="290">
        <v>175413279.21000001</v>
      </c>
    </row>
    <row r="36" spans="1:35" ht="27.95" customHeight="1">
      <c r="A36" s="258" t="s">
        <v>12</v>
      </c>
      <c r="B36" s="452">
        <f>BILANS!B48</f>
        <v>49481230.129999995</v>
      </c>
      <c r="C36" s="453">
        <f t="shared" si="7"/>
        <v>0.23638083946159494</v>
      </c>
      <c r="D36" s="297">
        <f>BILANS!C48</f>
        <v>47342178.829999998</v>
      </c>
      <c r="E36" s="298">
        <f t="shared" si="16"/>
        <v>0.23758626010897754</v>
      </c>
      <c r="F36" s="288">
        <f>BILANS!D48</f>
        <v>45702722.120000005</v>
      </c>
      <c r="G36" s="289">
        <f t="shared" si="16"/>
        <v>0.15866205520167709</v>
      </c>
      <c r="H36" s="297">
        <f>BILANS!E48</f>
        <v>41385810.950000003</v>
      </c>
      <c r="I36" s="298">
        <f t="shared" si="17"/>
        <v>-1.8384596970375089E-2</v>
      </c>
      <c r="J36" s="290">
        <f>BILANS!F48</f>
        <v>40021026.329999998</v>
      </c>
      <c r="K36" s="291">
        <f>(J36/Q36)-1</f>
        <v>-8.1388475780296177E-2</v>
      </c>
      <c r="L36" s="297">
        <f>BILANS!G48</f>
        <v>38253639.649999999</v>
      </c>
      <c r="M36" s="298">
        <f>L36/R36-1</f>
        <v>-0.21135729873854847</v>
      </c>
      <c r="N36" s="288">
        <f>BILANS!H48</f>
        <v>39444393.569999993</v>
      </c>
      <c r="O36" s="289">
        <f>(N36/S36)-1</f>
        <v>-0.11510975280871261</v>
      </c>
      <c r="P36" s="297">
        <f>D18</f>
        <v>42160922.518399999</v>
      </c>
      <c r="Q36" s="290">
        <f>BILANS!J48</f>
        <v>43566867.25</v>
      </c>
      <c r="R36" s="297">
        <f>BILANS!K48</f>
        <v>48505666.240000002</v>
      </c>
      <c r="S36" s="288">
        <f>BILANS!L48</f>
        <v>44575464.240000002</v>
      </c>
      <c r="T36" s="297">
        <f>BILANS!M48</f>
        <v>45982552.299999997</v>
      </c>
      <c r="U36" s="290">
        <f>BILANS!N48</f>
        <v>52415746.660000004</v>
      </c>
      <c r="V36" s="297">
        <f>BILANS!O48</f>
        <v>48519752.840000004</v>
      </c>
      <c r="W36" s="306">
        <v>47856328.619999997</v>
      </c>
      <c r="X36" s="301">
        <v>47539284</v>
      </c>
      <c r="Y36" s="290">
        <v>50911242.560000002</v>
      </c>
      <c r="Z36" s="260">
        <v>49231912.090000004</v>
      </c>
      <c r="AA36" s="306">
        <v>52432512.659999996</v>
      </c>
      <c r="AB36" s="260">
        <v>46767409.159999996</v>
      </c>
      <c r="AC36" s="290">
        <v>30758018.75</v>
      </c>
      <c r="AD36" s="260">
        <v>30029880.34</v>
      </c>
      <c r="AE36" s="292">
        <v>32036804.32</v>
      </c>
      <c r="AF36" s="260">
        <v>30824330.969999999</v>
      </c>
      <c r="AG36" s="290">
        <v>34567971.850000001</v>
      </c>
      <c r="AH36" s="260">
        <v>34722093.350000001</v>
      </c>
      <c r="AI36" s="290">
        <v>38574615.009999998</v>
      </c>
    </row>
    <row r="37" spans="1:35" ht="27.95" customHeight="1">
      <c r="A37" s="258" t="s">
        <v>13</v>
      </c>
      <c r="B37" s="452">
        <f>BILANS!B58</f>
        <v>130054789.84000003</v>
      </c>
      <c r="C37" s="453">
        <f t="shared" si="7"/>
        <v>-0.22176365122369346</v>
      </c>
      <c r="D37" s="297">
        <f>BILANS!C58</f>
        <v>144233333.74000001</v>
      </c>
      <c r="E37" s="298">
        <f t="shared" si="16"/>
        <v>0.10862511546975884</v>
      </c>
      <c r="F37" s="288">
        <f>BILANS!D58</f>
        <v>147758392.44</v>
      </c>
      <c r="G37" s="289">
        <f t="shared" si="16"/>
        <v>0.11053287052013805</v>
      </c>
      <c r="H37" s="297">
        <f>BILANS!E58</f>
        <v>128273967.32000001</v>
      </c>
      <c r="I37" s="298">
        <f t="shared" si="17"/>
        <v>0.18784034918219139</v>
      </c>
      <c r="J37" s="290">
        <f>BILANS!F59</f>
        <v>167114771.81</v>
      </c>
      <c r="K37" s="291">
        <f>(J37/Q37)-1</f>
        <v>0.37779242206577046</v>
      </c>
      <c r="L37" s="297">
        <f>BILANS!G58</f>
        <v>130101088.03</v>
      </c>
      <c r="M37" s="298">
        <f>L37/R37-1</f>
        <v>3.9722028614106897E-2</v>
      </c>
      <c r="N37" s="288">
        <f>BILANS!H58</f>
        <v>133051795.54999998</v>
      </c>
      <c r="O37" s="289">
        <f>(N37/S37)-1</f>
        <v>-6.0679271710918248E-2</v>
      </c>
      <c r="P37" s="297">
        <f>P32-P35-P36</f>
        <v>107989232.23000003</v>
      </c>
      <c r="Q37" s="290">
        <f>BILANS!J58</f>
        <v>121291690.33999999</v>
      </c>
      <c r="R37" s="297">
        <f>BILANS!K58</f>
        <v>125130644.97000001</v>
      </c>
      <c r="S37" s="288">
        <f>BILANS!L58</f>
        <v>141646821.52000001</v>
      </c>
      <c r="T37" s="297">
        <f>BILANS!M58</f>
        <v>108285480.82999998</v>
      </c>
      <c r="U37" s="290">
        <f>BILANS!N58</f>
        <v>102573548.19999997</v>
      </c>
      <c r="V37" s="297">
        <f>BILANS!O58</f>
        <v>107372500.09</v>
      </c>
      <c r="W37" s="306">
        <v>130520280.95999999</v>
      </c>
      <c r="X37" s="301">
        <v>103617585.62</v>
      </c>
      <c r="Y37" s="290">
        <v>93807818.530000001</v>
      </c>
      <c r="Z37" s="260">
        <v>101063600.08</v>
      </c>
      <c r="AA37" s="306">
        <v>106186439.22</v>
      </c>
      <c r="AB37" s="260">
        <v>75730157.260000005</v>
      </c>
      <c r="AC37" s="290">
        <v>74830736.569999993</v>
      </c>
      <c r="AD37" s="260">
        <v>85326363.680000007</v>
      </c>
      <c r="AE37" s="292">
        <v>107391291.83</v>
      </c>
      <c r="AF37" s="260">
        <v>82216152.840000004</v>
      </c>
      <c r="AG37" s="290">
        <v>71980175.459999993</v>
      </c>
      <c r="AH37" s="260">
        <v>86652051.269999996</v>
      </c>
      <c r="AI37" s="290">
        <v>88792232.159999996</v>
      </c>
    </row>
    <row r="38" spans="1:35" ht="27.95" customHeight="1">
      <c r="F38" s="271"/>
    </row>
    <row r="39" spans="1:35" ht="39.75" customHeight="1">
      <c r="A39" s="459" t="s">
        <v>147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248"/>
    </row>
    <row r="40" spans="1:35" ht="27.95" customHeight="1">
      <c r="A40" s="249"/>
      <c r="B40" s="278" t="s">
        <v>215</v>
      </c>
      <c r="C40" s="449" t="s">
        <v>116</v>
      </c>
      <c r="D40" s="352" t="s">
        <v>213</v>
      </c>
      <c r="E40" s="294" t="s">
        <v>116</v>
      </c>
      <c r="F40" s="278" t="s">
        <v>211</v>
      </c>
      <c r="G40" s="280" t="s">
        <v>116</v>
      </c>
      <c r="H40" s="22" t="s">
        <v>209</v>
      </c>
      <c r="I40" s="294" t="s">
        <v>116</v>
      </c>
      <c r="J40" s="278" t="s">
        <v>208</v>
      </c>
      <c r="K40" s="281" t="s">
        <v>116</v>
      </c>
      <c r="L40" s="22" t="s">
        <v>202</v>
      </c>
      <c r="M40" s="294" t="s">
        <v>116</v>
      </c>
      <c r="N40" s="279" t="s">
        <v>199</v>
      </c>
      <c r="O40" s="280" t="s">
        <v>116</v>
      </c>
      <c r="P40" s="267" t="s">
        <v>198</v>
      </c>
      <c r="Q40" s="279" t="s">
        <v>197</v>
      </c>
      <c r="R40" s="267" t="s">
        <v>194</v>
      </c>
      <c r="S40" s="279" t="s">
        <v>191</v>
      </c>
      <c r="T40" s="267" t="s">
        <v>190</v>
      </c>
      <c r="U40" s="279" t="s">
        <v>188</v>
      </c>
      <c r="V40" s="267" t="s">
        <v>183</v>
      </c>
      <c r="W40" s="304" t="s">
        <v>163</v>
      </c>
      <c r="X40" s="267" t="s">
        <v>118</v>
      </c>
      <c r="Y40" s="279" t="s">
        <v>25</v>
      </c>
      <c r="Z40" s="267" t="s">
        <v>26</v>
      </c>
      <c r="AA40" s="304" t="s">
        <v>16</v>
      </c>
      <c r="AB40" s="267" t="s">
        <v>27</v>
      </c>
      <c r="AC40" s="279" t="s">
        <v>28</v>
      </c>
      <c r="AD40" s="267" t="s">
        <v>29</v>
      </c>
      <c r="AE40" s="282" t="s">
        <v>20</v>
      </c>
      <c r="AF40" s="267" t="s">
        <v>30</v>
      </c>
      <c r="AG40" s="279" t="s">
        <v>31</v>
      </c>
      <c r="AH40" s="267" t="s">
        <v>32</v>
      </c>
      <c r="AI40" s="279" t="s">
        <v>24</v>
      </c>
    </row>
    <row r="41" spans="1:35" ht="27.95" customHeight="1">
      <c r="A41" s="268" t="s">
        <v>2</v>
      </c>
      <c r="B41" s="283">
        <f>B23-D23</f>
        <v>41660069.449999958</v>
      </c>
      <c r="C41" s="483">
        <f>(B41/J41)-1</f>
        <v>-0.15054054260276772</v>
      </c>
      <c r="D41" s="295">
        <f>D23-F23</f>
        <v>60629497.690000027</v>
      </c>
      <c r="E41" s="298">
        <f>(D41/L41)-1</f>
        <v>-3.8999667753770284E-2</v>
      </c>
      <c r="F41" s="283">
        <f>F23</f>
        <v>70092410.280000001</v>
      </c>
      <c r="G41" s="284">
        <f>(F41/N41)-1</f>
        <v>0.18900502668406749</v>
      </c>
      <c r="H41" s="295">
        <f t="shared" ref="H41:H48" si="18">H23-J23</f>
        <v>59717964.299999982</v>
      </c>
      <c r="I41" s="298">
        <f t="shared" ref="I41:I48" si="19">H41/P41-1</f>
        <v>-0.30459926218231115</v>
      </c>
      <c r="J41" s="285">
        <f>J23-L23</f>
        <v>49043034.469999999</v>
      </c>
      <c r="K41" s="286">
        <f>(J41/Q41)-1</f>
        <v>0.14857813818667731</v>
      </c>
      <c r="L41" s="295">
        <f t="shared" ref="L41:L48" si="20">L23-N23</f>
        <v>63089986.189999983</v>
      </c>
      <c r="M41" s="298">
        <f>L41/R41-1</f>
        <v>-0.16949996412262769</v>
      </c>
      <c r="N41" s="283">
        <f>N23</f>
        <v>58950474.310000017</v>
      </c>
      <c r="O41" s="284">
        <f>(N41/S41)-1</f>
        <v>-0.1510088057849186</v>
      </c>
      <c r="P41" s="295">
        <f>P23-Q23</f>
        <v>85875612.51000005</v>
      </c>
      <c r="Q41" s="285">
        <f>Q23-R23</f>
        <v>42698909.929999977</v>
      </c>
      <c r="R41" s="295">
        <f>R23-S23</f>
        <v>75966265.459999993</v>
      </c>
      <c r="S41" s="283">
        <f>S23</f>
        <v>69435907.829999998</v>
      </c>
      <c r="T41" s="269">
        <f t="shared" ref="T41:V45" si="21">T23-U23</f>
        <v>58350852.689999998</v>
      </c>
      <c r="U41" s="285">
        <f t="shared" si="21"/>
        <v>42655492.400000006</v>
      </c>
      <c r="V41" s="295">
        <f t="shared" si="21"/>
        <v>71012622.519999996</v>
      </c>
      <c r="W41" s="305">
        <v>68176646.359999999</v>
      </c>
      <c r="X41" s="302">
        <v>46386151.289999992</v>
      </c>
      <c r="Y41" s="285">
        <v>48630826.969999999</v>
      </c>
      <c r="Z41" s="255">
        <v>70860689.250000015</v>
      </c>
      <c r="AA41" s="305">
        <v>70254992.079999998</v>
      </c>
      <c r="AB41" s="255">
        <v>44358328.620000005</v>
      </c>
      <c r="AC41" s="285">
        <v>37886207.409999996</v>
      </c>
      <c r="AD41" s="255">
        <v>69333154.599999994</v>
      </c>
      <c r="AE41" s="287">
        <v>59222835.649999999</v>
      </c>
      <c r="AF41" s="255">
        <v>39287357.079999983</v>
      </c>
      <c r="AG41" s="285">
        <v>34966638.910000011</v>
      </c>
      <c r="AH41" s="255">
        <v>61020454.119999997</v>
      </c>
      <c r="AI41" s="285">
        <v>54813978.990000002</v>
      </c>
    </row>
    <row r="42" spans="1:35" ht="27.95" customHeight="1">
      <c r="A42" s="258" t="s">
        <v>3</v>
      </c>
      <c r="B42" s="288">
        <f>B24-D24</f>
        <v>5915742.2310758084</v>
      </c>
      <c r="C42" s="484">
        <f t="shared" ref="C42:C48" si="22">(B42/J42)-1</f>
        <v>-0.53416097339250068</v>
      </c>
      <c r="D42" s="297">
        <f t="shared" ref="D42:D48" si="23">D24-F24</f>
        <v>9502085.7784383968</v>
      </c>
      <c r="E42" s="298">
        <f t="shared" ref="E42:G48" si="24">(D42/L42)-1</f>
        <v>-0.26635830412320916</v>
      </c>
      <c r="F42" s="288">
        <f>F24</f>
        <v>18325403.470485784</v>
      </c>
      <c r="G42" s="289">
        <f t="shared" si="24"/>
        <v>0.36552670393643827</v>
      </c>
      <c r="H42" s="297">
        <f t="shared" si="18"/>
        <v>11352950.508064553</v>
      </c>
      <c r="I42" s="298">
        <f t="shared" si="19"/>
        <v>-0.56079294526522316</v>
      </c>
      <c r="J42" s="290">
        <f>J24-L24</f>
        <v>12699112.554303482</v>
      </c>
      <c r="K42" s="291">
        <f>(J42/Q42)-1</f>
        <v>1.7953892465401422</v>
      </c>
      <c r="L42" s="297">
        <f t="shared" si="20"/>
        <v>12951943.4784609</v>
      </c>
      <c r="M42" s="298">
        <f>L42/R42-1</f>
        <v>-0.27080850136049905</v>
      </c>
      <c r="N42" s="288">
        <f>N24</f>
        <v>13420025.707046725</v>
      </c>
      <c r="O42" s="289">
        <f>(N42/S42)-1</f>
        <v>-3.2100051305326338E-2</v>
      </c>
      <c r="P42" s="297">
        <f>P24-Q24</f>
        <v>25848743.515561789</v>
      </c>
      <c r="Q42" s="290">
        <f>Q24-R24</f>
        <v>4542878.0875583589</v>
      </c>
      <c r="R42" s="297">
        <f>R24-S24</f>
        <v>17762060.449999988</v>
      </c>
      <c r="S42" s="288">
        <f>S24</f>
        <v>13865096</v>
      </c>
      <c r="T42" s="270">
        <f t="shared" si="21"/>
        <v>7893735.1800000072</v>
      </c>
      <c r="U42" s="290">
        <f t="shared" si="21"/>
        <v>1606556.5599999875</v>
      </c>
      <c r="V42" s="297">
        <f t="shared" si="21"/>
        <v>13936363.630000001</v>
      </c>
      <c r="W42" s="306">
        <v>12013272.76</v>
      </c>
      <c r="X42" s="303">
        <v>5943276.849999994</v>
      </c>
      <c r="Y42" s="290">
        <v>8786602.0399999991</v>
      </c>
      <c r="Z42" s="260">
        <v>20751379.340000004</v>
      </c>
      <c r="AA42" s="306">
        <v>14338808.68</v>
      </c>
      <c r="AB42" s="260">
        <v>4374832.7899999991</v>
      </c>
      <c r="AC42" s="290">
        <v>6152624.9299999997</v>
      </c>
      <c r="AD42" s="260">
        <v>15276049.02</v>
      </c>
      <c r="AE42" s="292">
        <v>14586163.91</v>
      </c>
      <c r="AF42" s="260">
        <v>8653962.8200000003</v>
      </c>
      <c r="AG42" s="290">
        <v>5391776.1300000027</v>
      </c>
      <c r="AH42" s="260">
        <v>12864149.869999999</v>
      </c>
      <c r="AI42" s="290">
        <v>12625470.779999999</v>
      </c>
    </row>
    <row r="43" spans="1:35" ht="27.95" customHeight="1">
      <c r="A43" s="258" t="s">
        <v>4</v>
      </c>
      <c r="B43" s="288">
        <f>B25-D25</f>
        <v>-2945541.3389241938</v>
      </c>
      <c r="C43" s="484">
        <f t="shared" si="22"/>
        <v>-2.1577243859037081</v>
      </c>
      <c r="D43" s="297">
        <f t="shared" si="23"/>
        <v>-188381.06156160124</v>
      </c>
      <c r="E43" s="298">
        <f t="shared" si="24"/>
        <v>-1.0787077900237825</v>
      </c>
      <c r="F43" s="288">
        <f>F25</f>
        <v>8829020.980485782</v>
      </c>
      <c r="G43" s="289">
        <f t="shared" si="24"/>
        <v>1.0755269086229706</v>
      </c>
      <c r="H43" s="297">
        <f t="shared" si="18"/>
        <v>-480916.57193545997</v>
      </c>
      <c r="I43" s="298">
        <f t="shared" si="19"/>
        <v>-1.0381588277920022</v>
      </c>
      <c r="J43" s="290">
        <f>J25-L25</f>
        <v>2544250.9243034851</v>
      </c>
      <c r="K43" s="291">
        <f>(J43/Q43)-1</f>
        <v>-1.5979543636326947</v>
      </c>
      <c r="L43" s="297">
        <f t="shared" si="20"/>
        <v>2393423.3384609008</v>
      </c>
      <c r="M43" s="298">
        <f>L43/R43-1</f>
        <v>-0.71582127217078062</v>
      </c>
      <c r="N43" s="288">
        <f>N25</f>
        <v>4253869.6770467246</v>
      </c>
      <c r="O43" s="289">
        <f>(N43/S43)-1</f>
        <v>-0.22395244850681917</v>
      </c>
      <c r="P43" s="297">
        <f>P25-Q25</f>
        <v>12603022.675561797</v>
      </c>
      <c r="Q43" s="290">
        <f>Q25-R25</f>
        <v>-4254924.9224416427</v>
      </c>
      <c r="R43" s="297">
        <f>R25-S25</f>
        <v>8422246.6499999873</v>
      </c>
      <c r="S43" s="288">
        <f>S25</f>
        <v>5481454.9299999997</v>
      </c>
      <c r="T43" s="270">
        <f t="shared" si="21"/>
        <v>-1682810.1399999931</v>
      </c>
      <c r="U43" s="290">
        <f t="shared" si="21"/>
        <v>-7137822.7100000121</v>
      </c>
      <c r="V43" s="297">
        <f t="shared" si="21"/>
        <v>4441789.43</v>
      </c>
      <c r="W43" s="306">
        <v>3207921.25</v>
      </c>
      <c r="X43" s="303">
        <v>-3190252</v>
      </c>
      <c r="Y43" s="290">
        <v>-24598.789999999106</v>
      </c>
      <c r="Z43" s="260">
        <v>11794044.639999999</v>
      </c>
      <c r="AA43" s="306">
        <v>6367864.8300000001</v>
      </c>
      <c r="AB43" s="260">
        <v>-3723216.1500000004</v>
      </c>
      <c r="AC43" s="290">
        <v>-1298238.4900000002</v>
      </c>
      <c r="AD43" s="260">
        <v>6931189.1400000006</v>
      </c>
      <c r="AE43" s="292">
        <v>6946021.0899999999</v>
      </c>
      <c r="AF43" s="260">
        <v>903603.58999999985</v>
      </c>
      <c r="AG43" s="290">
        <v>-1477366.540000001</v>
      </c>
      <c r="AH43" s="260">
        <v>4155786.9700000007</v>
      </c>
      <c r="AI43" s="290">
        <v>4263335.24</v>
      </c>
    </row>
    <row r="44" spans="1:35" ht="27.95" customHeight="1">
      <c r="A44" s="258" t="s">
        <v>144</v>
      </c>
      <c r="B44" s="288">
        <f>B26-D26</f>
        <v>-3348946.1489242017</v>
      </c>
      <c r="C44" s="484">
        <f>(B44/J44)-1</f>
        <v>-2.3029648733684183</v>
      </c>
      <c r="D44" s="297">
        <f t="shared" si="23"/>
        <v>520303.49843839929</v>
      </c>
      <c r="E44" s="298">
        <f t="shared" si="24"/>
        <v>-0.34681394235945517</v>
      </c>
      <c r="F44" s="288">
        <f>F26</f>
        <v>9135927.1404857896</v>
      </c>
      <c r="G44" s="289">
        <f t="shared" si="24"/>
        <v>1.392894581163632</v>
      </c>
      <c r="H44" s="297">
        <f t="shared" si="18"/>
        <v>-1607560.3019354651</v>
      </c>
      <c r="I44" s="298">
        <f t="shared" si="19"/>
        <v>-1.2059102146952809</v>
      </c>
      <c r="J44" s="290">
        <f>J26-L26</f>
        <v>2570250.5243034856</v>
      </c>
      <c r="K44" s="291">
        <f>(J44/Q44)-1</f>
        <v>-1.7344458096531765</v>
      </c>
      <c r="L44" s="297">
        <f t="shared" si="20"/>
        <v>796562.4684609049</v>
      </c>
      <c r="M44" s="298">
        <f>L44/R44-1</f>
        <v>-0.91264968007787806</v>
      </c>
      <c r="N44" s="288">
        <f>N26</f>
        <v>3817939.6670467253</v>
      </c>
      <c r="O44" s="289">
        <f>(N44/S44)-1</f>
        <v>-0.32348748960260199</v>
      </c>
      <c r="P44" s="297">
        <f>P26-Q26</f>
        <v>7807093.5155617949</v>
      </c>
      <c r="Q44" s="290">
        <f>Q26-R26</f>
        <v>-3499578.1724416427</v>
      </c>
      <c r="R44" s="297">
        <f>R26-S26</f>
        <v>9119170.5899999887</v>
      </c>
      <c r="S44" s="288">
        <f>S26</f>
        <v>5643561.0699999994</v>
      </c>
      <c r="T44" s="270">
        <f t="shared" si="21"/>
        <v>-813353.18999999296</v>
      </c>
      <c r="U44" s="290">
        <f t="shared" si="21"/>
        <v>-7449320.1200000132</v>
      </c>
      <c r="V44" s="297">
        <f t="shared" si="21"/>
        <v>11386857.4</v>
      </c>
      <c r="W44" s="306">
        <v>3012736.99</v>
      </c>
      <c r="X44" s="303">
        <v>-1521657.9900000021</v>
      </c>
      <c r="Y44" s="290">
        <v>-1085825.6799999997</v>
      </c>
      <c r="Z44" s="260">
        <v>12378672.520000001</v>
      </c>
      <c r="AA44" s="306">
        <v>7073010.3499999996</v>
      </c>
      <c r="AB44" s="260">
        <v>-4543838.99</v>
      </c>
      <c r="AC44" s="290">
        <v>-641473.1799999997</v>
      </c>
      <c r="AD44" s="260">
        <v>7980249.3399999999</v>
      </c>
      <c r="AE44" s="292">
        <v>5842310.7300000004</v>
      </c>
      <c r="AF44" s="260">
        <v>1687847.1099999994</v>
      </c>
      <c r="AG44" s="290">
        <v>-771863.98000000045</v>
      </c>
      <c r="AH44" s="260">
        <v>4711533.7200000007</v>
      </c>
      <c r="AI44" s="290">
        <v>5160072.24</v>
      </c>
    </row>
    <row r="45" spans="1:35" ht="27.95" customHeight="1">
      <c r="A45" s="258" t="s">
        <v>5</v>
      </c>
      <c r="B45" s="288">
        <f t="shared" ref="B45:B48" si="25">B27-D27</f>
        <v>3229867.4499999993</v>
      </c>
      <c r="C45" s="484">
        <f t="shared" si="22"/>
        <v>3.1718417986854597E-2</v>
      </c>
      <c r="D45" s="297">
        <f t="shared" si="23"/>
        <v>3269524.64</v>
      </c>
      <c r="E45" s="298">
        <f t="shared" si="24"/>
        <v>0.1184359269494264</v>
      </c>
      <c r="F45" s="288">
        <f>F27</f>
        <v>3141222.78</v>
      </c>
      <c r="G45" s="289">
        <f t="shared" si="24"/>
        <v>7.4148586889508206E-2</v>
      </c>
      <c r="H45" s="297">
        <f t="shared" si="18"/>
        <v>-3130570.6999999993</v>
      </c>
      <c r="I45" s="298">
        <f t="shared" si="19"/>
        <v>-2.0779184237020205</v>
      </c>
      <c r="J45" s="290">
        <f>J27-L27</f>
        <v>3130570.6999999993</v>
      </c>
      <c r="K45" s="291">
        <f>(J45/Q45)-1</f>
        <v>0.11318186036220057</v>
      </c>
      <c r="L45" s="297">
        <f t="shared" si="20"/>
        <v>2923300.8000000003</v>
      </c>
      <c r="M45" s="298">
        <f>L45/R45-1</f>
        <v>6.4784535974471424E-2</v>
      </c>
      <c r="N45" s="288">
        <f>N27</f>
        <v>2924383.85</v>
      </c>
      <c r="O45" s="289">
        <f>(N45/S45)-1</f>
        <v>0.10073459270954066</v>
      </c>
      <c r="P45" s="297">
        <f>P27-Q27</f>
        <v>2904274.2299999995</v>
      </c>
      <c r="Q45" s="290">
        <f>Q27-R27</f>
        <v>2812272.4699999988</v>
      </c>
      <c r="R45" s="297">
        <f>R27-S27</f>
        <v>2745438.82</v>
      </c>
      <c r="S45" s="288">
        <f>S27</f>
        <v>2656756.56</v>
      </c>
      <c r="T45" s="270">
        <f t="shared" si="21"/>
        <v>2934669.74</v>
      </c>
      <c r="U45" s="290">
        <f t="shared" si="21"/>
        <v>2699395.5700000003</v>
      </c>
      <c r="V45" s="297">
        <f t="shared" si="21"/>
        <v>2422053.5599999996</v>
      </c>
      <c r="W45" s="306">
        <v>2196000</v>
      </c>
      <c r="X45" s="303">
        <v>2320970.9399999985</v>
      </c>
      <c r="Y45" s="290">
        <v>2220636.2600000012</v>
      </c>
      <c r="Z45" s="260">
        <v>2061949.5899999999</v>
      </c>
      <c r="AA45" s="306">
        <v>1976223.1400000001</v>
      </c>
      <c r="AB45" s="260">
        <v>1948552.5300000003</v>
      </c>
      <c r="AC45" s="290">
        <v>1947994.5299999998</v>
      </c>
      <c r="AD45" s="260">
        <v>1898400.56</v>
      </c>
      <c r="AE45" s="292">
        <v>1841132.4900000002</v>
      </c>
      <c r="AF45" s="260">
        <v>1895651.1799999997</v>
      </c>
      <c r="AG45" s="290">
        <v>1874055.1800000006</v>
      </c>
      <c r="AH45" s="260">
        <v>1843089.1500000004</v>
      </c>
      <c r="AI45" s="290">
        <v>1823440.0999999996</v>
      </c>
    </row>
    <row r="46" spans="1:35" ht="27.95" customHeight="1">
      <c r="A46" s="258" t="s">
        <v>1</v>
      </c>
      <c r="B46" s="288">
        <f t="shared" si="25"/>
        <v>-119078.69892420247</v>
      </c>
      <c r="C46" s="484">
        <f t="shared" si="22"/>
        <v>-1.0208879903857626</v>
      </c>
      <c r="D46" s="297">
        <f t="shared" si="23"/>
        <v>3789828.1384383999</v>
      </c>
      <c r="E46" s="298">
        <f t="shared" si="24"/>
        <v>1.8808452066154224E-2</v>
      </c>
      <c r="F46" s="288">
        <f>F44+F45</f>
        <v>12277149.920485789</v>
      </c>
      <c r="G46" s="289">
        <f t="shared" si="24"/>
        <v>0.82090786498827484</v>
      </c>
      <c r="H46" s="297">
        <f t="shared" si="18"/>
        <v>-4738131.0019354634</v>
      </c>
      <c r="I46" s="298">
        <f t="shared" si="19"/>
        <v>-1.4423460303562714</v>
      </c>
      <c r="J46" s="288">
        <f t="shared" ref="J46" si="26">J44+J45</f>
        <v>5700821.2243034849</v>
      </c>
      <c r="K46" s="291">
        <f>(J46/Q46)-1</f>
        <v>-9.2944477312663007</v>
      </c>
      <c r="L46" s="297">
        <f t="shared" si="20"/>
        <v>3719863.2684609052</v>
      </c>
      <c r="M46" s="298">
        <f>L46/R46-1</f>
        <v>-0.68647402203348995</v>
      </c>
      <c r="N46" s="288">
        <f>N44+N45</f>
        <v>6742323.5170467254</v>
      </c>
      <c r="O46" s="289">
        <f>(N46/S46)-1</f>
        <v>-0.18770295094758604</v>
      </c>
      <c r="P46" s="297">
        <f>P28-Q28</f>
        <v>10711367.745561793</v>
      </c>
      <c r="Q46" s="288">
        <f t="shared" ref="Q46" si="27">Q44+Q45</f>
        <v>-687305.70244164392</v>
      </c>
      <c r="R46" s="297">
        <f>R28-S28</f>
        <v>11864609.409999989</v>
      </c>
      <c r="S46" s="288">
        <f>S44+S45</f>
        <v>8300317.629999999</v>
      </c>
      <c r="T46" s="270">
        <f>T28-U28</f>
        <v>2121316.5500000082</v>
      </c>
      <c r="U46" s="288">
        <f t="shared" ref="U46" si="28">U44+U45</f>
        <v>-4749924.5500000129</v>
      </c>
      <c r="V46" s="297">
        <f>V28-W28</f>
        <v>13808910.959999997</v>
      </c>
      <c r="W46" s="306">
        <f>W44+W45</f>
        <v>5208736.99</v>
      </c>
      <c r="X46" s="270">
        <f t="shared" ref="X46:AI46" si="29">X44+X45</f>
        <v>799312.94999999646</v>
      </c>
      <c r="Y46" s="288">
        <f t="shared" si="29"/>
        <v>1134810.5800000015</v>
      </c>
      <c r="Z46" s="270">
        <f t="shared" si="29"/>
        <v>14440622.110000001</v>
      </c>
      <c r="AA46" s="306">
        <f t="shared" si="29"/>
        <v>9049233.4900000002</v>
      </c>
      <c r="AB46" s="270">
        <f t="shared" si="29"/>
        <v>-2595286.46</v>
      </c>
      <c r="AC46" s="288">
        <f t="shared" si="29"/>
        <v>1306521.3500000001</v>
      </c>
      <c r="AD46" s="270">
        <f t="shared" si="29"/>
        <v>9878649.9000000004</v>
      </c>
      <c r="AE46" s="293">
        <f t="shared" si="29"/>
        <v>7683443.2200000007</v>
      </c>
      <c r="AF46" s="270">
        <f t="shared" si="29"/>
        <v>3583498.2899999991</v>
      </c>
      <c r="AG46" s="288">
        <f t="shared" si="29"/>
        <v>1102191.2000000002</v>
      </c>
      <c r="AH46" s="270">
        <f t="shared" si="29"/>
        <v>6554622.870000001</v>
      </c>
      <c r="AI46" s="288">
        <f t="shared" si="29"/>
        <v>6983512.3399999999</v>
      </c>
    </row>
    <row r="47" spans="1:35" ht="27.95" customHeight="1">
      <c r="A47" s="258" t="s">
        <v>6</v>
      </c>
      <c r="B47" s="288">
        <f>B29-D29</f>
        <v>-4074605.4289242034</v>
      </c>
      <c r="C47" s="484">
        <f t="shared" si="22"/>
        <v>-4.1725307032168892</v>
      </c>
      <c r="D47" s="297">
        <f t="shared" si="23"/>
        <v>-942009.88156159967</v>
      </c>
      <c r="E47" s="298">
        <f t="shared" si="24"/>
        <v>-2.1774924057297507</v>
      </c>
      <c r="F47" s="288">
        <f>F29</f>
        <v>7826641.4004857903</v>
      </c>
      <c r="G47" s="289">
        <f t="shared" si="24"/>
        <v>0.91722229012261791</v>
      </c>
      <c r="H47" s="297">
        <f t="shared" si="18"/>
        <v>-1794680.0709354645</v>
      </c>
      <c r="I47" s="298">
        <f t="shared" si="19"/>
        <v>-1.2812661211171938</v>
      </c>
      <c r="J47" s="290">
        <f>J29-L29</f>
        <v>1284339.163303487</v>
      </c>
      <c r="K47" s="291">
        <f>(J47/Q47)-1</f>
        <v>-1.3615855689342991</v>
      </c>
      <c r="L47" s="297">
        <f t="shared" si="20"/>
        <v>800013.55166090373</v>
      </c>
      <c r="M47" s="298">
        <f>L47/R47-1</f>
        <v>-0.89057147750065813</v>
      </c>
      <c r="N47" s="288">
        <f>N29</f>
        <v>4082281.6638467256</v>
      </c>
      <c r="O47" s="289">
        <f>(N47/S47)-1</f>
        <v>-0.19627980325398653</v>
      </c>
      <c r="P47" s="297">
        <f>P29-Q29</f>
        <v>6380718.956861794</v>
      </c>
      <c r="Q47" s="290">
        <f>Q29-R29</f>
        <v>-3551964.662441643</v>
      </c>
      <c r="R47" s="297">
        <f>R29-S29</f>
        <v>7310832.0699999882</v>
      </c>
      <c r="S47" s="288">
        <f>S29</f>
        <v>5079232.3999999994</v>
      </c>
      <c r="T47" s="270">
        <f>T29-U29</f>
        <v>-1864866.9599999925</v>
      </c>
      <c r="U47" s="290">
        <f>U29-V29</f>
        <v>-8168845.250000013</v>
      </c>
      <c r="V47" s="297">
        <f>V29-W29</f>
        <v>10852933.789999999</v>
      </c>
      <c r="W47" s="306">
        <v>2985020.21</v>
      </c>
      <c r="X47" s="303">
        <v>-2729125.92</v>
      </c>
      <c r="Y47" s="290">
        <v>-1457536.0700000022</v>
      </c>
      <c r="Z47" s="260">
        <v>11163174.32</v>
      </c>
      <c r="AA47" s="306">
        <v>6560341.2800000003</v>
      </c>
      <c r="AB47" s="260">
        <v>-4963184.1399999997</v>
      </c>
      <c r="AC47" s="290">
        <v>-1193835.3599999994</v>
      </c>
      <c r="AD47" s="260">
        <v>6737418.1799999997</v>
      </c>
      <c r="AE47" s="292">
        <v>5046721.43</v>
      </c>
      <c r="AF47" s="260">
        <v>314233.78000000026</v>
      </c>
      <c r="AG47" s="290">
        <v>-1755089.62</v>
      </c>
      <c r="AH47" s="260">
        <v>3254065.37</v>
      </c>
      <c r="AI47" s="290">
        <v>4196060.5599999996</v>
      </c>
    </row>
    <row r="48" spans="1:35" ht="27.95" customHeight="1">
      <c r="A48" s="258" t="s">
        <v>7</v>
      </c>
      <c r="B48" s="288">
        <f t="shared" si="25"/>
        <v>-3173808.4289242034</v>
      </c>
      <c r="C48" s="484">
        <f t="shared" si="22"/>
        <v>-5.2466465455197628</v>
      </c>
      <c r="D48" s="297">
        <f t="shared" si="23"/>
        <v>-1239744.8815615997</v>
      </c>
      <c r="E48" s="298">
        <f t="shared" si="24"/>
        <v>-3.8614171171938616</v>
      </c>
      <c r="F48" s="288">
        <f>F30</f>
        <v>6267908.4004857903</v>
      </c>
      <c r="G48" s="289">
        <f t="shared" si="24"/>
        <v>0.98028127673879006</v>
      </c>
      <c r="H48" s="297">
        <f t="shared" si="18"/>
        <v>-2024365.3109354647</v>
      </c>
      <c r="I48" s="298">
        <f t="shared" si="19"/>
        <v>-1.4471357226142543</v>
      </c>
      <c r="J48" s="290">
        <f>J30-L30</f>
        <v>747368.163303487</v>
      </c>
      <c r="K48" s="291">
        <f>(J48/Q48)-1</f>
        <v>-1.2405412003046574</v>
      </c>
      <c r="L48" s="297">
        <f t="shared" si="20"/>
        <v>433262.55166090373</v>
      </c>
      <c r="M48" s="298">
        <f>L48/R48-1</f>
        <v>-0.92349601920558488</v>
      </c>
      <c r="N48" s="288">
        <f>N30</f>
        <v>3165160.6638467256</v>
      </c>
      <c r="O48" s="289">
        <f>(N48/S48)-1</f>
        <v>-0.23133722905849341</v>
      </c>
      <c r="P48" s="297">
        <f>P30-Q30</f>
        <v>4527406.7996617947</v>
      </c>
      <c r="Q48" s="290">
        <f>Q30-R30</f>
        <v>-3107027.662441643</v>
      </c>
      <c r="R48" s="297">
        <f>R30-S30</f>
        <v>5663268.0699999882</v>
      </c>
      <c r="S48" s="288">
        <f>S30</f>
        <v>4117749.3999999994</v>
      </c>
      <c r="T48" s="270">
        <f>T30-U30</f>
        <v>-226706.95999999251</v>
      </c>
      <c r="U48" s="290">
        <f>U30-V30</f>
        <v>-6982601.250000013</v>
      </c>
      <c r="V48" s="297">
        <f>V30-W30</f>
        <v>6986809.79</v>
      </c>
      <c r="W48" s="306">
        <v>2433536.21</v>
      </c>
      <c r="X48" s="303">
        <v>-2091508.5199999996</v>
      </c>
      <c r="Y48" s="290">
        <v>-1195929.0700000003</v>
      </c>
      <c r="Z48" s="260">
        <v>9283901.3200000003</v>
      </c>
      <c r="AA48" s="306">
        <v>4828559.28</v>
      </c>
      <c r="AB48" s="260">
        <v>-4039883.5300000003</v>
      </c>
      <c r="AC48" s="290">
        <v>-1377745.42</v>
      </c>
      <c r="AD48" s="260">
        <v>4731424.78</v>
      </c>
      <c r="AE48" s="292">
        <v>3418685.37</v>
      </c>
      <c r="AF48" s="260">
        <v>2156624.88</v>
      </c>
      <c r="AG48" s="290">
        <v>-1461898.29</v>
      </c>
      <c r="AH48" s="260">
        <v>2102680.15</v>
      </c>
      <c r="AI48" s="290">
        <v>2842426.27</v>
      </c>
    </row>
    <row r="49" spans="6:6" ht="27.95" customHeight="1">
      <c r="F49" s="272"/>
    </row>
    <row r="50" spans="6:6" ht="27.95" customHeight="1"/>
    <row r="51" spans="6:6" ht="27.95" customHeight="1"/>
    <row r="52" spans="6:6" ht="27.95" customHeight="1"/>
    <row r="53" spans="6:6" ht="27.95" customHeight="1"/>
  </sheetData>
  <mergeCells count="4">
    <mergeCell ref="A39:L39"/>
    <mergeCell ref="A1:O1"/>
    <mergeCell ref="A3:L3"/>
    <mergeCell ref="A21:L21"/>
  </mergeCells>
  <pageMargins left="0.19685039370078741" right="0" top="0.19685039370078741" bottom="0.19685039370078741" header="0" footer="0"/>
  <pageSetup paperSize="9" scale="39" orientation="landscape" horizontalDpi="4294967293" verticalDpi="4294967293" r:id="rId1"/>
  <headerFooter>
    <oddFooter>&amp;RREDWOOD PR
powered by PROFESCAPITAL</oddFooter>
  </headerFooter>
  <ignoredErrors>
    <ignoredError sqref="X46 X28 M28:P28 E10:F10 N46 Q41:Q48 R46:S46 U46:V46 C10 D23:F37 C28 G28 C41:C48 F41:F48 I41:I48 J41:K48 D41:D48 S41:T45 S47:T48 T46 I28:K28 D10:D14 D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63"/>
  <sheetViews>
    <sheetView showGridLines="0" zoomScale="60" zoomScaleNormal="60" zoomScaleSheetLayoutView="30" workbookViewId="0">
      <pane xSplit="1" topLeftCell="B1" activePane="topRight" state="frozen"/>
      <selection pane="topRight"/>
    </sheetView>
  </sheetViews>
  <sheetFormatPr defaultRowHeight="18.75"/>
  <cols>
    <col min="1" max="1" width="103" bestFit="1" customWidth="1"/>
    <col min="2" max="9" width="21.7109375" customWidth="1"/>
    <col min="10" max="10" width="21.5703125" customWidth="1"/>
    <col min="11" max="11" width="21.5703125" style="13" customWidth="1"/>
    <col min="12" max="12" width="21.7109375" customWidth="1"/>
    <col min="13" max="13" width="21.7109375" style="13" customWidth="1"/>
    <col min="14" max="28" width="21.7109375" customWidth="1"/>
  </cols>
  <sheetData>
    <row r="1" spans="1:58" ht="50.1" customHeight="1">
      <c r="A1" s="320" t="s">
        <v>148</v>
      </c>
      <c r="B1" s="447"/>
      <c r="C1" s="443"/>
      <c r="D1" s="320"/>
      <c r="E1" s="245"/>
      <c r="F1" s="244"/>
      <c r="G1" s="241"/>
      <c r="H1" s="235"/>
      <c r="I1" s="229"/>
      <c r="J1" s="208"/>
      <c r="K1" s="162"/>
      <c r="L1" s="157"/>
      <c r="M1" s="162"/>
      <c r="N1" s="13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65"/>
      <c r="AA1" s="466"/>
      <c r="AB1" s="466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163"/>
      <c r="L2" s="6"/>
      <c r="M2" s="163"/>
      <c r="N2" s="6"/>
      <c r="AA2" s="2"/>
      <c r="AB2" s="2"/>
      <c r="AC2" s="2"/>
    </row>
    <row r="3" spans="1:58" ht="27.95" customHeight="1">
      <c r="A3" s="321" t="s">
        <v>204</v>
      </c>
      <c r="B3" s="321"/>
      <c r="C3" s="321"/>
      <c r="D3" s="321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58" ht="27.95" customHeight="1">
      <c r="N4" s="30"/>
      <c r="O4" s="31"/>
      <c r="P4" s="31"/>
      <c r="Q4" s="31"/>
      <c r="R4" s="31"/>
      <c r="S4" s="13"/>
      <c r="T4" s="13"/>
      <c r="U4" s="13"/>
      <c r="V4" s="13"/>
      <c r="W4" s="13"/>
      <c r="X4" s="13"/>
      <c r="Y4" s="13"/>
      <c r="Z4" s="13"/>
    </row>
    <row r="5" spans="1:58" ht="27.95" customHeight="1">
      <c r="A5" s="307"/>
      <c r="B5" s="22" t="s">
        <v>215</v>
      </c>
      <c r="C5" s="23" t="s">
        <v>212</v>
      </c>
      <c r="D5" s="308" t="s">
        <v>211</v>
      </c>
      <c r="E5" s="23" t="s">
        <v>210</v>
      </c>
      <c r="F5" s="22" t="s">
        <v>207</v>
      </c>
      <c r="G5" s="23" t="s">
        <v>201</v>
      </c>
      <c r="H5" s="308" t="s">
        <v>199</v>
      </c>
      <c r="I5" s="23" t="s">
        <v>205</v>
      </c>
      <c r="J5" s="22" t="s">
        <v>195</v>
      </c>
      <c r="K5" s="23" t="s">
        <v>193</v>
      </c>
      <c r="L5" s="308" t="s">
        <v>191</v>
      </c>
      <c r="M5" s="29" t="s">
        <v>189</v>
      </c>
      <c r="N5" s="22" t="s">
        <v>187</v>
      </c>
      <c r="O5" s="23" t="s">
        <v>183</v>
      </c>
      <c r="P5" s="308" t="s">
        <v>163</v>
      </c>
      <c r="Q5" s="23" t="s">
        <v>117</v>
      </c>
      <c r="R5" s="22" t="s">
        <v>14</v>
      </c>
      <c r="S5" s="23" t="s">
        <v>15</v>
      </c>
      <c r="T5" s="309" t="s">
        <v>16</v>
      </c>
      <c r="U5" s="29" t="s">
        <v>17</v>
      </c>
      <c r="V5" s="22" t="s">
        <v>18</v>
      </c>
      <c r="W5" s="29" t="s">
        <v>19</v>
      </c>
      <c r="X5" s="309" t="s">
        <v>20</v>
      </c>
      <c r="Y5" s="29" t="s">
        <v>21</v>
      </c>
      <c r="Z5" s="22" t="s">
        <v>22</v>
      </c>
      <c r="AA5" s="29" t="s">
        <v>23</v>
      </c>
      <c r="AB5" s="22" t="s">
        <v>24</v>
      </c>
    </row>
    <row r="6" spans="1:58" ht="27.95" customHeight="1">
      <c r="A6" s="310" t="s">
        <v>61</v>
      </c>
      <c r="B6" s="313"/>
      <c r="C6" s="310"/>
      <c r="D6" s="312"/>
      <c r="E6" s="310"/>
      <c r="F6" s="313"/>
      <c r="G6" s="311"/>
      <c r="H6" s="312"/>
      <c r="I6" s="310"/>
      <c r="J6" s="313"/>
      <c r="K6" s="311"/>
      <c r="L6" s="312"/>
      <c r="M6" s="314"/>
      <c r="N6" s="313"/>
      <c r="O6" s="311"/>
      <c r="P6" s="312"/>
      <c r="Q6" s="315"/>
      <c r="R6" s="313"/>
      <c r="S6" s="315"/>
      <c r="T6" s="316"/>
      <c r="U6" s="317"/>
      <c r="V6" s="313"/>
      <c r="W6" s="317"/>
      <c r="X6" s="316"/>
      <c r="Y6" s="317"/>
      <c r="Z6" s="313"/>
      <c r="AA6" s="317"/>
      <c r="AB6" s="313"/>
    </row>
    <row r="7" spans="1:58" ht="27.95" customHeight="1">
      <c r="A7" s="14" t="s">
        <v>9</v>
      </c>
      <c r="B7" s="33"/>
      <c r="C7" s="14"/>
      <c r="D7" s="158"/>
      <c r="E7" s="14"/>
      <c r="F7" s="33"/>
      <c r="G7" s="164"/>
      <c r="H7" s="158"/>
      <c r="I7" s="14"/>
      <c r="J7" s="33"/>
      <c r="K7" s="164"/>
      <c r="L7" s="158"/>
      <c r="M7" s="164"/>
      <c r="N7" s="33"/>
      <c r="O7" s="164"/>
      <c r="P7" s="158"/>
      <c r="Q7" s="32"/>
      <c r="R7" s="33"/>
      <c r="S7" s="32"/>
      <c r="T7" s="87"/>
      <c r="U7" s="12"/>
      <c r="V7" s="33"/>
      <c r="W7" s="12"/>
      <c r="X7" s="87"/>
      <c r="Y7" s="12"/>
      <c r="Z7" s="33"/>
      <c r="AA7" s="12"/>
      <c r="AB7" s="33"/>
    </row>
    <row r="8" spans="1:58" ht="27.95" customHeight="1">
      <c r="A8" s="11" t="s">
        <v>33</v>
      </c>
      <c r="B8" s="35">
        <v>172601645.61000001</v>
      </c>
      <c r="C8" s="36">
        <v>172271828.13</v>
      </c>
      <c r="D8" s="158">
        <v>168890317.78999999</v>
      </c>
      <c r="E8" s="36">
        <v>169273535.61000001</v>
      </c>
      <c r="F8" s="35">
        <v>163826359.47999999</v>
      </c>
      <c r="G8" s="36">
        <v>160163140.69000003</v>
      </c>
      <c r="H8" s="158">
        <v>157893004.09</v>
      </c>
      <c r="I8" s="36">
        <v>158528479.25999996</v>
      </c>
      <c r="J8" s="35">
        <v>156870266.79000002</v>
      </c>
      <c r="K8" s="36">
        <v>156256306.00999999</v>
      </c>
      <c r="L8" s="158">
        <v>155420105.38</v>
      </c>
      <c r="M8" s="36">
        <v>153800584.31999999</v>
      </c>
      <c r="N8" s="35">
        <v>149014671.06</v>
      </c>
      <c r="O8" s="36">
        <v>139243073.91</v>
      </c>
      <c r="P8" s="158">
        <v>137753609.53</v>
      </c>
      <c r="Q8" s="129">
        <v>133933574.84</v>
      </c>
      <c r="R8" s="35">
        <v>143364288.49000001</v>
      </c>
      <c r="S8" s="34">
        <v>140165826.33000001</v>
      </c>
      <c r="T8" s="59">
        <v>136925083.25999999</v>
      </c>
      <c r="U8" s="36">
        <v>125266971.28</v>
      </c>
      <c r="V8" s="35">
        <v>124619684.79000001</v>
      </c>
      <c r="W8" s="36">
        <v>124980236.79000001</v>
      </c>
      <c r="X8" s="59">
        <v>123978998.15000001</v>
      </c>
      <c r="Y8" s="36">
        <v>125634765.62</v>
      </c>
      <c r="Z8" s="35">
        <v>126316462.09999999</v>
      </c>
      <c r="AA8" s="36">
        <v>126697322.52</v>
      </c>
      <c r="AB8" s="35">
        <v>128801959.56999999</v>
      </c>
    </row>
    <row r="9" spans="1:58" ht="27.95" customHeight="1">
      <c r="A9" s="11" t="s">
        <v>34</v>
      </c>
      <c r="B9" s="35">
        <v>55330486.380000003</v>
      </c>
      <c r="C9" s="36">
        <v>55387870.379999988</v>
      </c>
      <c r="D9" s="158">
        <v>55256362.329999991</v>
      </c>
      <c r="E9" s="36">
        <v>54985764.389999978</v>
      </c>
      <c r="F9" s="35">
        <v>54788117.82</v>
      </c>
      <c r="G9" s="36">
        <v>54748111.54999999</v>
      </c>
      <c r="H9" s="158">
        <v>54383262.860000007</v>
      </c>
      <c r="I9" s="36">
        <v>54446597.589999996</v>
      </c>
      <c r="J9" s="35">
        <v>54393677.82</v>
      </c>
      <c r="K9" s="36">
        <v>54556923.969999999</v>
      </c>
      <c r="L9" s="158">
        <v>54806171.530000001</v>
      </c>
      <c r="M9" s="36">
        <v>54503722.5</v>
      </c>
      <c r="N9" s="35">
        <v>54239051.950000003</v>
      </c>
      <c r="O9" s="36">
        <v>54359004.5</v>
      </c>
      <c r="P9" s="158">
        <v>54367733.799999997</v>
      </c>
      <c r="Q9" s="129">
        <v>54399904.539999999</v>
      </c>
      <c r="R9" s="35">
        <v>54037181.630000003</v>
      </c>
      <c r="S9" s="34">
        <v>53480599.789999999</v>
      </c>
      <c r="T9" s="59">
        <v>49573340.979999997</v>
      </c>
      <c r="U9" s="36">
        <v>51934228.649999999</v>
      </c>
      <c r="V9" s="35">
        <v>51667600.439999998</v>
      </c>
      <c r="W9" s="36">
        <v>51213866.57</v>
      </c>
      <c r="X9" s="59">
        <v>50791329.32</v>
      </c>
      <c r="Y9" s="36">
        <v>50857929.409999996</v>
      </c>
      <c r="Z9" s="35">
        <v>49985832.909999996</v>
      </c>
      <c r="AA9" s="36">
        <v>49696442.350000001</v>
      </c>
      <c r="AB9" s="35">
        <v>48332786.600000001</v>
      </c>
    </row>
    <row r="10" spans="1:58" ht="27.95" customHeight="1">
      <c r="A10" s="11" t="s">
        <v>35</v>
      </c>
      <c r="B10" s="35">
        <v>110570.47</v>
      </c>
      <c r="C10" s="36">
        <v>107816.15999999999</v>
      </c>
      <c r="D10" s="158">
        <v>119168.05</v>
      </c>
      <c r="E10" s="36">
        <v>72482.87999999999</v>
      </c>
      <c r="F10" s="35">
        <v>80163.64</v>
      </c>
      <c r="G10" s="36">
        <v>68100.039999999994</v>
      </c>
      <c r="H10" s="158">
        <v>77285.88</v>
      </c>
      <c r="I10" s="36">
        <v>77285.88</v>
      </c>
      <c r="J10" s="35">
        <v>81435.490000000005</v>
      </c>
      <c r="K10" s="36">
        <v>81435.490000000005</v>
      </c>
      <c r="L10" s="158">
        <v>99462.45</v>
      </c>
      <c r="M10" s="36">
        <v>99462.45</v>
      </c>
      <c r="N10" s="35">
        <v>64275.5</v>
      </c>
      <c r="O10" s="36">
        <v>58879.69</v>
      </c>
      <c r="P10" s="158">
        <v>65613.88</v>
      </c>
      <c r="Q10" s="129">
        <v>65457.62</v>
      </c>
      <c r="R10" s="35">
        <v>187919.09</v>
      </c>
      <c r="S10" s="34">
        <v>110056.78</v>
      </c>
      <c r="T10" s="59">
        <v>27779.68</v>
      </c>
      <c r="U10" s="36">
        <v>27779.68</v>
      </c>
      <c r="V10" s="35">
        <v>44239.42</v>
      </c>
      <c r="W10" s="36">
        <v>40742.089999999997</v>
      </c>
      <c r="X10" s="59">
        <v>41410.03</v>
      </c>
      <c r="Y10" s="36">
        <v>38155.03</v>
      </c>
      <c r="Z10" s="35">
        <v>12577.63</v>
      </c>
      <c r="AA10" s="36">
        <v>15405.86</v>
      </c>
      <c r="AB10" s="35">
        <v>15405.86</v>
      </c>
    </row>
    <row r="11" spans="1:58" ht="27.95" customHeight="1">
      <c r="A11" s="11" t="s">
        <v>165</v>
      </c>
      <c r="B11" s="35">
        <v>1828866.32</v>
      </c>
      <c r="C11" s="36">
        <v>1106866.3200000008</v>
      </c>
      <c r="D11" s="158">
        <v>361081.42999999988</v>
      </c>
      <c r="E11" s="36">
        <v>336099.92999999941</v>
      </c>
      <c r="F11" s="35">
        <v>299160.35000000009</v>
      </c>
      <c r="G11" s="36">
        <v>456910.34999999986</v>
      </c>
      <c r="H11" s="158">
        <v>246010.34999999998</v>
      </c>
      <c r="I11" s="36">
        <v>213410.34999999998</v>
      </c>
      <c r="J11" s="35">
        <v>180199.08</v>
      </c>
      <c r="K11" s="36">
        <v>149569.07999999999</v>
      </c>
      <c r="L11" s="158">
        <v>124019.08</v>
      </c>
      <c r="M11" s="36"/>
      <c r="N11" s="35"/>
      <c r="O11" s="36"/>
      <c r="P11" s="158"/>
      <c r="Q11" s="129"/>
      <c r="R11" s="35"/>
      <c r="S11" s="34"/>
      <c r="T11" s="59"/>
      <c r="U11" s="36"/>
      <c r="V11" s="35"/>
      <c r="W11" s="36"/>
      <c r="X11" s="59"/>
      <c r="Y11" s="36"/>
      <c r="Z11" s="35"/>
      <c r="AA11" s="36"/>
      <c r="AB11" s="35"/>
    </row>
    <row r="12" spans="1:58" ht="27.95" customHeight="1">
      <c r="A12" s="11" t="s">
        <v>63</v>
      </c>
      <c r="B12" s="35">
        <v>11957281.699999999</v>
      </c>
      <c r="C12" s="36">
        <v>11943121.699999999</v>
      </c>
      <c r="D12" s="159">
        <v>11943121.699999999</v>
      </c>
      <c r="E12" s="36">
        <v>9970459.3900000006</v>
      </c>
      <c r="F12" s="35">
        <v>9864557.0800000001</v>
      </c>
      <c r="G12" s="36">
        <v>9864557.0800000001</v>
      </c>
      <c r="H12" s="159">
        <v>10125557.08</v>
      </c>
      <c r="I12" s="36">
        <v>10125557.08</v>
      </c>
      <c r="J12" s="35">
        <v>10125557.08</v>
      </c>
      <c r="K12" s="36">
        <v>10125557.08</v>
      </c>
      <c r="L12" s="158">
        <v>10125557.08</v>
      </c>
      <c r="M12" s="36">
        <v>10125557.08</v>
      </c>
      <c r="N12" s="35">
        <v>7752716.5800000001</v>
      </c>
      <c r="O12" s="36">
        <v>7752716.5800000001</v>
      </c>
      <c r="P12" s="158">
        <v>7304716.5800000001</v>
      </c>
      <c r="Q12" s="129">
        <v>7304716.5800000001</v>
      </c>
      <c r="R12" s="35">
        <v>4630400</v>
      </c>
      <c r="S12" s="34">
        <v>4630400</v>
      </c>
      <c r="T12" s="59">
        <v>4733000</v>
      </c>
      <c r="U12" s="36">
        <v>4733000</v>
      </c>
      <c r="V12" s="35">
        <v>4733000</v>
      </c>
      <c r="W12" s="36">
        <v>4733000</v>
      </c>
      <c r="X12" s="59">
        <v>4946000</v>
      </c>
      <c r="Y12" s="36">
        <v>4946000</v>
      </c>
      <c r="Z12" s="35">
        <v>3376000</v>
      </c>
      <c r="AA12" s="36">
        <v>3376000</v>
      </c>
      <c r="AB12" s="35">
        <v>3376000</v>
      </c>
    </row>
    <row r="13" spans="1:58" ht="27.95" customHeight="1">
      <c r="A13" s="11" t="s">
        <v>36</v>
      </c>
      <c r="B13" s="35">
        <v>0</v>
      </c>
      <c r="C13" s="36">
        <v>0</v>
      </c>
      <c r="D13" s="159">
        <v>0</v>
      </c>
      <c r="E13" s="36">
        <v>0</v>
      </c>
      <c r="F13" s="35">
        <v>0</v>
      </c>
      <c r="G13" s="36">
        <v>0</v>
      </c>
      <c r="H13" s="159">
        <v>0</v>
      </c>
      <c r="I13" s="36">
        <v>0</v>
      </c>
      <c r="J13" s="35">
        <v>0</v>
      </c>
      <c r="K13" s="36">
        <v>0</v>
      </c>
      <c r="L13" s="159">
        <v>0</v>
      </c>
      <c r="M13" s="36">
        <v>0</v>
      </c>
      <c r="N13" s="35">
        <v>0</v>
      </c>
      <c r="O13" s="36">
        <v>0</v>
      </c>
      <c r="P13" s="159">
        <v>0</v>
      </c>
      <c r="Q13" s="129">
        <v>0</v>
      </c>
      <c r="R13" s="35">
        <v>0</v>
      </c>
      <c r="S13" s="34">
        <v>0</v>
      </c>
      <c r="T13" s="59">
        <v>0</v>
      </c>
      <c r="U13" s="36">
        <v>0</v>
      </c>
      <c r="V13" s="35">
        <v>0</v>
      </c>
      <c r="W13" s="36">
        <v>0</v>
      </c>
      <c r="X13" s="59">
        <v>0</v>
      </c>
      <c r="Y13" s="36">
        <v>0</v>
      </c>
      <c r="Z13" s="35">
        <v>0</v>
      </c>
      <c r="AA13" s="36">
        <v>0</v>
      </c>
      <c r="AB13" s="35">
        <v>0</v>
      </c>
    </row>
    <row r="14" spans="1:58" ht="27.95" customHeight="1">
      <c r="A14" s="11" t="s">
        <v>37</v>
      </c>
      <c r="B14" s="35">
        <v>987847.55</v>
      </c>
      <c r="C14" s="36">
        <v>1250281.1013000002</v>
      </c>
      <c r="D14" s="159">
        <v>1255615.1613000003</v>
      </c>
      <c r="E14" s="36">
        <v>1286479.8613000002</v>
      </c>
      <c r="F14" s="35">
        <v>1093620.4213000003</v>
      </c>
      <c r="G14" s="36">
        <v>1580406.6013000004</v>
      </c>
      <c r="H14" s="159">
        <v>1560885.0081000004</v>
      </c>
      <c r="I14" s="36">
        <v>1403385.8913000003</v>
      </c>
      <c r="J14" s="35">
        <v>1454902.53</v>
      </c>
      <c r="K14" s="36">
        <v>1442433.32</v>
      </c>
      <c r="L14" s="158">
        <v>1082879.19</v>
      </c>
      <c r="M14" s="36">
        <v>1032296.72</v>
      </c>
      <c r="N14" s="35">
        <v>995711</v>
      </c>
      <c r="O14" s="36">
        <v>1022919.92</v>
      </c>
      <c r="P14" s="158">
        <v>912989.47</v>
      </c>
      <c r="Q14" s="129">
        <v>958974.73</v>
      </c>
      <c r="R14" s="35">
        <v>1666398.53</v>
      </c>
      <c r="S14" s="34">
        <v>931014.53</v>
      </c>
      <c r="T14" s="59">
        <v>912865.84</v>
      </c>
      <c r="U14" s="36">
        <v>910231.84</v>
      </c>
      <c r="V14" s="35">
        <v>853393.82</v>
      </c>
      <c r="W14" s="36">
        <v>853393.82</v>
      </c>
      <c r="X14" s="59">
        <v>891597.38</v>
      </c>
      <c r="Y14" s="36">
        <v>891597.38</v>
      </c>
      <c r="Z14" s="35">
        <v>922340.7</v>
      </c>
      <c r="AA14" s="36">
        <v>922340.7</v>
      </c>
      <c r="AB14" s="35">
        <v>955193.16</v>
      </c>
    </row>
    <row r="15" spans="1:58" ht="27.95" customHeight="1">
      <c r="A15" s="11" t="s">
        <v>166</v>
      </c>
      <c r="B15" s="35">
        <v>0</v>
      </c>
      <c r="C15" s="36">
        <v>0</v>
      </c>
      <c r="D15" s="159">
        <v>0</v>
      </c>
      <c r="E15" s="36">
        <v>0</v>
      </c>
      <c r="F15" s="35">
        <v>0</v>
      </c>
      <c r="G15" s="36">
        <v>0</v>
      </c>
      <c r="H15" s="159">
        <v>0</v>
      </c>
      <c r="I15" s="36">
        <v>0</v>
      </c>
      <c r="J15" s="35">
        <v>0</v>
      </c>
      <c r="K15" s="36">
        <v>0</v>
      </c>
      <c r="L15" s="159">
        <v>0</v>
      </c>
      <c r="M15" s="36">
        <v>0</v>
      </c>
      <c r="N15" s="35">
        <v>0</v>
      </c>
      <c r="O15" s="36">
        <v>0</v>
      </c>
      <c r="P15" s="159">
        <v>0</v>
      </c>
      <c r="Q15" s="129">
        <v>0</v>
      </c>
      <c r="R15" s="35"/>
      <c r="S15" s="34"/>
      <c r="T15" s="59">
        <v>0</v>
      </c>
      <c r="U15" s="36">
        <v>0</v>
      </c>
      <c r="V15" s="35"/>
      <c r="W15" s="36"/>
      <c r="X15" s="59"/>
      <c r="Y15" s="36">
        <v>0</v>
      </c>
      <c r="Z15" s="35"/>
      <c r="AA15" s="36"/>
      <c r="AB15" s="35">
        <v>0</v>
      </c>
    </row>
    <row r="16" spans="1:58" ht="27.95" customHeight="1">
      <c r="A16" s="11" t="s">
        <v>121</v>
      </c>
      <c r="B16" s="35">
        <v>1410427.72</v>
      </c>
      <c r="C16" s="36">
        <v>1521408.08</v>
      </c>
      <c r="D16" s="159">
        <v>1425796.64</v>
      </c>
      <c r="E16" s="36">
        <v>1524366.04</v>
      </c>
      <c r="F16" s="35">
        <v>1585573.6</v>
      </c>
      <c r="G16" s="36">
        <v>2071714</v>
      </c>
      <c r="H16" s="158">
        <v>3672200</v>
      </c>
      <c r="I16" s="36">
        <v>3459173</v>
      </c>
      <c r="J16" s="35">
        <v>3133715</v>
      </c>
      <c r="K16" s="36">
        <v>3046259</v>
      </c>
      <c r="L16" s="158">
        <v>3079355</v>
      </c>
      <c r="M16" s="36">
        <v>2963717</v>
      </c>
      <c r="N16" s="35">
        <v>2980100</v>
      </c>
      <c r="O16" s="36">
        <v>2630963</v>
      </c>
      <c r="P16" s="158">
        <v>3039323</v>
      </c>
      <c r="Q16" s="129">
        <v>3677895</v>
      </c>
      <c r="R16" s="35">
        <v>4697668.4000000004</v>
      </c>
      <c r="S16" s="34">
        <v>5918186.1299999999</v>
      </c>
      <c r="T16" s="59">
        <v>5466797.6200000001</v>
      </c>
      <c r="U16" s="36">
        <v>6517966.2400000002</v>
      </c>
      <c r="V16" s="35">
        <v>10051902.119999999</v>
      </c>
      <c r="W16" s="36">
        <v>8126192.7999999998</v>
      </c>
      <c r="X16" s="59">
        <v>7432043.2000000002</v>
      </c>
      <c r="Y16" s="36">
        <v>7876201</v>
      </c>
      <c r="Z16" s="35">
        <v>6481967.25</v>
      </c>
      <c r="AA16" s="36">
        <v>6274015.75</v>
      </c>
      <c r="AB16" s="35">
        <v>6491483</v>
      </c>
    </row>
    <row r="17" spans="1:28" s="467" customFormat="1" ht="27.95" customHeight="1">
      <c r="A17" s="14" t="s">
        <v>38</v>
      </c>
      <c r="B17" s="169">
        <f t="shared" ref="B17:D17" si="0">SUM(B8:B16)</f>
        <v>244227125.75</v>
      </c>
      <c r="C17" s="164">
        <f t="shared" si="0"/>
        <v>243589191.87129998</v>
      </c>
      <c r="D17" s="167">
        <f t="shared" si="0"/>
        <v>239251463.10129997</v>
      </c>
      <c r="E17" s="164">
        <f t="shared" ref="E17" si="1">SUM(E8:E16)</f>
        <v>237449188.10129997</v>
      </c>
      <c r="F17" s="169">
        <f t="shared" ref="F17" si="2">SUM(F8:F16)</f>
        <v>231537552.39129996</v>
      </c>
      <c r="G17" s="164">
        <f t="shared" ref="G17" si="3">SUM(G8:G16)</f>
        <v>228952940.31130001</v>
      </c>
      <c r="H17" s="167">
        <f t="shared" ref="H17" si="4">SUM(H8:H16)</f>
        <v>227958205.26810002</v>
      </c>
      <c r="I17" s="164">
        <f t="shared" ref="I17:N17" si="5">SUM(I8:I16)</f>
        <v>228253889.05129996</v>
      </c>
      <c r="J17" s="169">
        <f t="shared" si="5"/>
        <v>226239753.79000005</v>
      </c>
      <c r="K17" s="164">
        <f t="shared" si="5"/>
        <v>225658483.95000002</v>
      </c>
      <c r="L17" s="167">
        <f t="shared" si="5"/>
        <v>224737549.71000001</v>
      </c>
      <c r="M17" s="164">
        <f t="shared" si="5"/>
        <v>222525340.06999999</v>
      </c>
      <c r="N17" s="169">
        <f t="shared" si="5"/>
        <v>215046526.09</v>
      </c>
      <c r="O17" s="164">
        <v>205067557.59999999</v>
      </c>
      <c r="P17" s="167">
        <v>203443986.25999999</v>
      </c>
      <c r="Q17" s="168">
        <v>200340523.31</v>
      </c>
      <c r="R17" s="169">
        <v>208583856.13999999</v>
      </c>
      <c r="S17" s="170">
        <v>205236083.56</v>
      </c>
      <c r="T17" s="171">
        <v>197638867.38</v>
      </c>
      <c r="U17" s="164">
        <v>189390177.69</v>
      </c>
      <c r="V17" s="169">
        <v>191969820.59</v>
      </c>
      <c r="W17" s="164">
        <v>189947432.06999999</v>
      </c>
      <c r="X17" s="171">
        <v>188081378.08000001</v>
      </c>
      <c r="Y17" s="164">
        <v>190244648.44</v>
      </c>
      <c r="Z17" s="169">
        <v>187095180.59</v>
      </c>
      <c r="AA17" s="164">
        <v>186981527.18000001</v>
      </c>
      <c r="AB17" s="169">
        <v>187972828.19</v>
      </c>
    </row>
    <row r="18" spans="1:28" ht="27.95" customHeight="1">
      <c r="A18" s="14" t="s">
        <v>10</v>
      </c>
      <c r="B18" s="35"/>
      <c r="C18" s="164"/>
      <c r="D18" s="158"/>
      <c r="E18" s="164"/>
      <c r="F18" s="35"/>
      <c r="G18" s="164"/>
      <c r="H18" s="158"/>
      <c r="I18" s="164"/>
      <c r="J18" s="35"/>
      <c r="K18" s="164"/>
      <c r="L18" s="158"/>
      <c r="M18" s="36"/>
      <c r="N18" s="35"/>
      <c r="O18" s="164"/>
      <c r="P18" s="158"/>
      <c r="Q18" s="126"/>
      <c r="R18" s="35"/>
      <c r="S18" s="40"/>
      <c r="T18" s="88"/>
      <c r="U18" s="40"/>
      <c r="V18" s="35"/>
      <c r="W18" s="36"/>
      <c r="X18" s="59"/>
      <c r="Y18" s="36"/>
      <c r="Z18" s="41"/>
      <c r="AA18" s="40"/>
      <c r="AB18" s="41"/>
    </row>
    <row r="19" spans="1:28" ht="27.95" customHeight="1">
      <c r="A19" s="11" t="s">
        <v>39</v>
      </c>
      <c r="B19" s="35">
        <v>63760042.390000001</v>
      </c>
      <c r="C19" s="36">
        <v>68065219.146799833</v>
      </c>
      <c r="D19" s="158">
        <v>76088349.158361435</v>
      </c>
      <c r="E19" s="36">
        <v>78868179.907875672</v>
      </c>
      <c r="F19" s="35">
        <v>73296335.29981117</v>
      </c>
      <c r="G19" s="36">
        <v>71764132.555507645</v>
      </c>
      <c r="H19" s="158">
        <v>70009390.607046694</v>
      </c>
      <c r="I19" s="36">
        <v>66185737.189268723</v>
      </c>
      <c r="J19" s="35">
        <v>71009881.423706979</v>
      </c>
      <c r="K19" s="36">
        <v>65200834.240000002</v>
      </c>
      <c r="L19" s="158">
        <v>72276257.159999996</v>
      </c>
      <c r="M19" s="36">
        <v>72085726.010000005</v>
      </c>
      <c r="N19" s="35">
        <v>68563159.319999993</v>
      </c>
      <c r="O19" s="36">
        <v>71081028.329999998</v>
      </c>
      <c r="P19" s="158">
        <v>82539154.379999995</v>
      </c>
      <c r="Q19" s="129">
        <v>73908849.629999995</v>
      </c>
      <c r="R19" s="35">
        <v>67686933.959999993</v>
      </c>
      <c r="S19" s="34">
        <v>63945872.32</v>
      </c>
      <c r="T19" s="59">
        <v>68372715.760000005</v>
      </c>
      <c r="U19" s="36">
        <v>67412524.549999997</v>
      </c>
      <c r="V19" s="35">
        <v>56745423.280000001</v>
      </c>
      <c r="W19" s="36">
        <v>54178383.390000001</v>
      </c>
      <c r="X19" s="59">
        <v>65185925.850000001</v>
      </c>
      <c r="Y19" s="36">
        <v>57215266.890000001</v>
      </c>
      <c r="Z19" s="35">
        <v>51191202.159999996</v>
      </c>
      <c r="AA19" s="36">
        <v>48867327.159999996</v>
      </c>
      <c r="AB19" s="35">
        <v>57672794.780000001</v>
      </c>
    </row>
    <row r="20" spans="1:28" ht="27.95" customHeight="1">
      <c r="A20" s="11" t="s">
        <v>40</v>
      </c>
      <c r="B20" s="35">
        <v>72433257.659999996</v>
      </c>
      <c r="C20" s="36">
        <v>80862385.38000001</v>
      </c>
      <c r="D20" s="158">
        <v>83663355.219999999</v>
      </c>
      <c r="E20" s="36">
        <v>55122803.960000008</v>
      </c>
      <c r="F20" s="35">
        <v>63762913.379999995</v>
      </c>
      <c r="G20" s="36">
        <v>69620691.890000001</v>
      </c>
      <c r="H20" s="158">
        <v>75836912.51000002</v>
      </c>
      <c r="I20" s="36">
        <v>56399534.820000023</v>
      </c>
      <c r="J20" s="35">
        <v>60386081.00999999</v>
      </c>
      <c r="K20" s="36">
        <v>79159420.670000002</v>
      </c>
      <c r="L20" s="158">
        <v>76724768.140000001</v>
      </c>
      <c r="M20" s="36">
        <v>43937335.740000002</v>
      </c>
      <c r="N20" s="35">
        <v>54350308.689999998</v>
      </c>
      <c r="O20" s="36">
        <v>68034053.260000005</v>
      </c>
      <c r="P20" s="158">
        <v>65917293.439999998</v>
      </c>
      <c r="Q20" s="129">
        <v>37784715.229999997</v>
      </c>
      <c r="R20" s="35">
        <v>51686907.450000003</v>
      </c>
      <c r="S20" s="34">
        <v>64213391.609999999</v>
      </c>
      <c r="T20" s="59">
        <v>64112948.450000003</v>
      </c>
      <c r="U20" s="36">
        <v>33510675.170000002</v>
      </c>
      <c r="V20" s="35">
        <v>39818714.75</v>
      </c>
      <c r="W20" s="36">
        <v>54154714.850000001</v>
      </c>
      <c r="X20" s="59">
        <v>57131654.390000001</v>
      </c>
      <c r="Y20" s="36">
        <v>35526719.020000003</v>
      </c>
      <c r="Z20" s="35">
        <v>35601976.170000002</v>
      </c>
      <c r="AA20" s="36">
        <v>51457250.310000002</v>
      </c>
      <c r="AB20" s="35">
        <v>44225594.090000004</v>
      </c>
    </row>
    <row r="21" spans="1:28" ht="27.95" customHeight="1">
      <c r="A21" s="11" t="s">
        <v>41</v>
      </c>
      <c r="B21" s="35">
        <v>0</v>
      </c>
      <c r="C21" s="36">
        <v>0</v>
      </c>
      <c r="D21" s="158">
        <v>0</v>
      </c>
      <c r="E21" s="36">
        <v>0</v>
      </c>
      <c r="F21" s="35">
        <v>0</v>
      </c>
      <c r="G21" s="36">
        <v>0</v>
      </c>
      <c r="H21" s="158">
        <v>0</v>
      </c>
      <c r="I21" s="36">
        <v>0</v>
      </c>
      <c r="J21" s="35">
        <v>214230</v>
      </c>
      <c r="K21" s="36">
        <v>0</v>
      </c>
      <c r="L21" s="158">
        <v>0</v>
      </c>
      <c r="M21" s="36">
        <v>0</v>
      </c>
      <c r="N21" s="35">
        <v>0</v>
      </c>
      <c r="O21" s="36">
        <v>0</v>
      </c>
      <c r="P21" s="158">
        <v>0</v>
      </c>
      <c r="Q21" s="129">
        <v>0</v>
      </c>
      <c r="R21" s="35">
        <v>0</v>
      </c>
      <c r="S21" s="34">
        <v>0</v>
      </c>
      <c r="T21" s="59">
        <v>0</v>
      </c>
      <c r="U21" s="36">
        <v>494777</v>
      </c>
      <c r="V21" s="35">
        <v>0</v>
      </c>
      <c r="W21" s="36">
        <v>0</v>
      </c>
      <c r="X21" s="59">
        <v>1253887</v>
      </c>
      <c r="Y21" s="36">
        <v>1916426.69</v>
      </c>
      <c r="Z21" s="35">
        <v>1306551.69</v>
      </c>
      <c r="AA21" s="36">
        <v>691721</v>
      </c>
      <c r="AB21" s="35">
        <v>904449</v>
      </c>
    </row>
    <row r="22" spans="1:28" ht="27.95" customHeight="1">
      <c r="A22" s="11" t="s">
        <v>180</v>
      </c>
      <c r="B22" s="35">
        <v>0</v>
      </c>
      <c r="C22" s="36">
        <v>0</v>
      </c>
      <c r="D22" s="158">
        <v>0</v>
      </c>
      <c r="E22" s="36">
        <v>0</v>
      </c>
      <c r="F22" s="35">
        <v>0</v>
      </c>
      <c r="G22" s="36">
        <v>0</v>
      </c>
      <c r="H22" s="158">
        <v>0</v>
      </c>
      <c r="I22" s="36">
        <v>0</v>
      </c>
      <c r="J22" s="35">
        <v>0</v>
      </c>
      <c r="K22" s="36">
        <v>0</v>
      </c>
      <c r="L22" s="158">
        <v>0</v>
      </c>
      <c r="M22" s="36">
        <v>0</v>
      </c>
      <c r="N22" s="35">
        <v>0</v>
      </c>
      <c r="O22" s="36">
        <v>0</v>
      </c>
      <c r="P22" s="158">
        <v>0</v>
      </c>
      <c r="Q22" s="129">
        <v>0</v>
      </c>
      <c r="R22" s="35"/>
      <c r="S22" s="34"/>
      <c r="T22" s="59"/>
      <c r="U22" s="36">
        <v>0</v>
      </c>
      <c r="V22" s="35"/>
      <c r="W22" s="36"/>
      <c r="X22" s="59"/>
      <c r="Y22" s="36">
        <v>0</v>
      </c>
      <c r="Z22" s="35"/>
      <c r="AA22" s="36"/>
      <c r="AB22" s="35"/>
    </row>
    <row r="23" spans="1:28" ht="27.95" customHeight="1">
      <c r="A23" s="11" t="s">
        <v>165</v>
      </c>
      <c r="B23" s="35">
        <v>0</v>
      </c>
      <c r="C23" s="36">
        <v>0</v>
      </c>
      <c r="D23" s="158">
        <v>0</v>
      </c>
      <c r="E23" s="36">
        <v>0</v>
      </c>
      <c r="F23" s="35">
        <v>0</v>
      </c>
      <c r="G23" s="36">
        <v>0</v>
      </c>
      <c r="H23" s="158">
        <v>0</v>
      </c>
      <c r="I23" s="36">
        <v>0</v>
      </c>
      <c r="J23" s="35">
        <v>2093507.4199999997</v>
      </c>
      <c r="K23" s="36">
        <v>1919920.86</v>
      </c>
      <c r="L23" s="158">
        <v>1368173.85</v>
      </c>
      <c r="M23" s="36">
        <v>1117169.3500000001</v>
      </c>
      <c r="N23" s="35">
        <v>697121.57</v>
      </c>
      <c r="O23" s="36">
        <v>478151.42</v>
      </c>
      <c r="P23" s="158">
        <v>365055.12</v>
      </c>
      <c r="Q23" s="129">
        <v>238080.34</v>
      </c>
      <c r="R23" s="35"/>
      <c r="S23" s="34"/>
      <c r="T23" s="59">
        <v>0</v>
      </c>
      <c r="U23" s="36">
        <v>0</v>
      </c>
      <c r="V23" s="35"/>
      <c r="W23" s="36"/>
      <c r="X23" s="59"/>
      <c r="Y23" s="36">
        <v>0</v>
      </c>
      <c r="Z23" s="35"/>
      <c r="AA23" s="36"/>
      <c r="AB23" s="35"/>
    </row>
    <row r="24" spans="1:28" ht="27.95" customHeight="1">
      <c r="A24" s="11" t="s">
        <v>122</v>
      </c>
      <c r="B24" s="35">
        <v>129293.93</v>
      </c>
      <c r="C24" s="36">
        <v>181859.36</v>
      </c>
      <c r="D24" s="158">
        <v>151892.07</v>
      </c>
      <c r="E24" s="36">
        <v>259502.25</v>
      </c>
      <c r="F24" s="35">
        <v>696637.64</v>
      </c>
      <c r="G24" s="36">
        <v>696637.64</v>
      </c>
      <c r="H24" s="158">
        <v>91401.95</v>
      </c>
      <c r="I24" s="36">
        <v>91401.95</v>
      </c>
      <c r="J24" s="35">
        <v>23441.51</v>
      </c>
      <c r="K24" s="36">
        <v>23441.51</v>
      </c>
      <c r="L24" s="158">
        <v>0</v>
      </c>
      <c r="M24" s="36">
        <v>0</v>
      </c>
      <c r="N24" s="35">
        <v>0</v>
      </c>
      <c r="O24" s="36">
        <v>0</v>
      </c>
      <c r="P24" s="158">
        <v>0</v>
      </c>
      <c r="Q24" s="129">
        <v>0</v>
      </c>
      <c r="R24" s="35">
        <v>5983.86</v>
      </c>
      <c r="S24" s="34">
        <v>5983.86</v>
      </c>
      <c r="T24" s="59">
        <v>539650.13</v>
      </c>
      <c r="U24" s="36">
        <v>539650.13</v>
      </c>
      <c r="V24" s="35">
        <v>118415.5</v>
      </c>
      <c r="W24" s="36">
        <v>0</v>
      </c>
      <c r="X24" s="59"/>
      <c r="Y24" s="36">
        <v>0</v>
      </c>
      <c r="Z24" s="35">
        <v>35869.870000000003</v>
      </c>
      <c r="AA24" s="36">
        <v>35869.870000000003</v>
      </c>
      <c r="AB24" s="35">
        <v>0</v>
      </c>
    </row>
    <row r="25" spans="1:28" ht="27.95" customHeight="1">
      <c r="A25" s="11" t="s">
        <v>42</v>
      </c>
      <c r="B25" s="35">
        <f>9457137.97-0.01</f>
        <v>9457137.9600000009</v>
      </c>
      <c r="C25" s="36">
        <v>11044489.489999998</v>
      </c>
      <c r="D25" s="158">
        <v>9035212.3000000045</v>
      </c>
      <c r="E25" s="36">
        <v>6315254.4200000018</v>
      </c>
      <c r="F25" s="35">
        <v>8023001.4000000004</v>
      </c>
      <c r="G25" s="36">
        <v>8579048.6999999993</v>
      </c>
      <c r="H25" s="158">
        <v>9851262.2300000004</v>
      </c>
      <c r="I25" s="36">
        <v>6097864.5200000005</v>
      </c>
      <c r="J25" s="35">
        <v>6628439.1599999992</v>
      </c>
      <c r="K25" s="36">
        <v>7542239.71</v>
      </c>
      <c r="L25" s="158">
        <v>10566952.23</v>
      </c>
      <c r="M25" s="36">
        <v>9492086.4399999995</v>
      </c>
      <c r="N25" s="35">
        <v>13060325.49</v>
      </c>
      <c r="O25" s="36">
        <v>15568899.15</v>
      </c>
      <c r="P25" s="158">
        <v>22383401.32</v>
      </c>
      <c r="Q25" s="129">
        <v>29743225.25</v>
      </c>
      <c r="R25" s="35">
        <v>8631109.2400000002</v>
      </c>
      <c r="S25" s="34">
        <v>7440236.2999999998</v>
      </c>
      <c r="T25" s="59">
        <v>9664052.9000000004</v>
      </c>
      <c r="U25" s="36">
        <v>6599535.9299999997</v>
      </c>
      <c r="V25" s="35">
        <v>3704394.75</v>
      </c>
      <c r="W25" s="36">
        <v>3729526.46</v>
      </c>
      <c r="X25" s="59">
        <v>8627737.0800000001</v>
      </c>
      <c r="Y25" s="36">
        <v>4067997.32</v>
      </c>
      <c r="Z25" s="35">
        <v>4380302.87</v>
      </c>
      <c r="AA25" s="36">
        <v>5623560.8700000001</v>
      </c>
      <c r="AB25" s="35">
        <v>7934741.5</v>
      </c>
    </row>
    <row r="26" spans="1:28" ht="27.95" customHeight="1">
      <c r="A26" s="11" t="s">
        <v>196</v>
      </c>
      <c r="B26" s="35">
        <v>0</v>
      </c>
      <c r="C26" s="36">
        <v>0</v>
      </c>
      <c r="D26" s="158">
        <v>0</v>
      </c>
      <c r="E26" s="36">
        <v>0</v>
      </c>
      <c r="F26" s="35">
        <v>0</v>
      </c>
      <c r="G26" s="36">
        <v>0</v>
      </c>
      <c r="H26" s="158">
        <v>0</v>
      </c>
      <c r="I26" s="36">
        <v>0</v>
      </c>
      <c r="J26" s="35">
        <v>1061634.8799999999</v>
      </c>
      <c r="K26" s="36">
        <v>0</v>
      </c>
      <c r="L26" s="158">
        <v>0</v>
      </c>
      <c r="M26" s="36"/>
      <c r="N26" s="35"/>
      <c r="O26" s="36"/>
      <c r="P26" s="158"/>
      <c r="Q26" s="129"/>
      <c r="R26" s="35"/>
      <c r="S26" s="34"/>
      <c r="T26" s="59"/>
      <c r="U26" s="36"/>
      <c r="V26" s="35"/>
      <c r="W26" s="36"/>
      <c r="X26" s="59"/>
      <c r="Y26" s="36"/>
      <c r="Z26" s="35"/>
      <c r="AA26" s="36"/>
      <c r="AB26" s="35"/>
    </row>
    <row r="27" spans="1:28" ht="27.95" customHeight="1">
      <c r="A27" s="11" t="s">
        <v>121</v>
      </c>
      <c r="B27" s="35">
        <v>973034.28</v>
      </c>
      <c r="C27" s="36">
        <v>1056360.42</v>
      </c>
      <c r="D27" s="158">
        <v>991849.86</v>
      </c>
      <c r="E27" s="36">
        <v>1065768.21</v>
      </c>
      <c r="F27" s="35">
        <v>1108918.8</v>
      </c>
      <c r="G27" s="36">
        <v>1472287.75</v>
      </c>
      <c r="H27" s="158">
        <v>1503787.86</v>
      </c>
      <c r="I27" s="36">
        <v>1412026.67</v>
      </c>
      <c r="J27" s="35">
        <v>1276439.24</v>
      </c>
      <c r="K27" s="36">
        <v>1240830.42</v>
      </c>
      <c r="L27" s="158">
        <v>1243569.56</v>
      </c>
      <c r="M27" s="36">
        <v>1195634.6100000001</v>
      </c>
      <c r="N27" s="35">
        <v>1207960.74</v>
      </c>
      <c r="O27" s="36">
        <v>1073742.8799999999</v>
      </c>
      <c r="P27" s="158">
        <v>1244939.1299999999</v>
      </c>
      <c r="Q27" s="129">
        <v>2214250</v>
      </c>
      <c r="R27" s="35">
        <v>2214000</v>
      </c>
      <c r="S27" s="34">
        <v>3099460.26</v>
      </c>
      <c r="T27" s="59">
        <v>5107362.62</v>
      </c>
      <c r="U27" s="36">
        <v>3252083.12</v>
      </c>
      <c r="V27" s="35">
        <v>23849.85</v>
      </c>
      <c r="W27" s="36">
        <v>99059.45</v>
      </c>
      <c r="X27" s="59">
        <v>92674.85</v>
      </c>
      <c r="Y27" s="36">
        <v>388254.45</v>
      </c>
      <c r="Z27" s="35">
        <v>2180085.4500000002</v>
      </c>
      <c r="AA27" s="36">
        <v>2077184.55</v>
      </c>
      <c r="AB27" s="35">
        <v>2181654.5</v>
      </c>
    </row>
    <row r="28" spans="1:28" ht="27.95" customHeight="1">
      <c r="A28" s="11" t="s">
        <v>43</v>
      </c>
      <c r="B28" s="35">
        <v>2419204.84</v>
      </c>
      <c r="C28" s="36">
        <v>3614779.2100000004</v>
      </c>
      <c r="D28" s="158">
        <v>2409912.23</v>
      </c>
      <c r="E28" s="36">
        <v>2484709.62</v>
      </c>
      <c r="F28" s="35">
        <v>3603234.5999999996</v>
      </c>
      <c r="G28" s="36">
        <v>2104103.2499999995</v>
      </c>
      <c r="H28" s="158">
        <v>1359954.4500000002</v>
      </c>
      <c r="I28" s="36">
        <v>2470500.7600000002</v>
      </c>
      <c r="J28" s="35">
        <v>1545896.3900000001</v>
      </c>
      <c r="K28" s="36">
        <v>1786517.06</v>
      </c>
      <c r="L28" s="158">
        <v>2199559.83</v>
      </c>
      <c r="M28" s="36">
        <v>4524100.2699999996</v>
      </c>
      <c r="N28" s="35">
        <v>4508791.51</v>
      </c>
      <c r="O28" s="36">
        <v>3027473.99</v>
      </c>
      <c r="P28" s="158">
        <v>2524352.67</v>
      </c>
      <c r="Q28" s="129">
        <v>4369921.21</v>
      </c>
      <c r="R28" s="35">
        <v>4395490.87</v>
      </c>
      <c r="S28" s="34">
        <v>5950401.46</v>
      </c>
      <c r="T28" s="59">
        <v>3846734.57</v>
      </c>
      <c r="U28" s="36">
        <v>6249331.1600000001</v>
      </c>
      <c r="V28" s="35">
        <v>1599035.2</v>
      </c>
      <c r="W28" s="36">
        <v>779368.79</v>
      </c>
      <c r="X28" s="59">
        <v>1325619.42</v>
      </c>
      <c r="Y28" s="36">
        <v>2807911.28</v>
      </c>
      <c r="Z28" s="35">
        <v>427135.87</v>
      </c>
      <c r="AA28" s="36">
        <v>2540955.7599999998</v>
      </c>
      <c r="AB28" s="35">
        <v>858664.32</v>
      </c>
    </row>
    <row r="29" spans="1:28" ht="27.95" customHeight="1">
      <c r="A29" s="11" t="s">
        <v>124</v>
      </c>
      <c r="B29" s="35">
        <v>0</v>
      </c>
      <c r="C29" s="36">
        <v>0</v>
      </c>
      <c r="D29" s="158">
        <v>0</v>
      </c>
      <c r="E29" s="36">
        <v>0</v>
      </c>
      <c r="F29" s="35">
        <v>0</v>
      </c>
      <c r="G29" s="36">
        <v>0</v>
      </c>
      <c r="H29" s="158">
        <v>0</v>
      </c>
      <c r="I29" s="36">
        <v>0</v>
      </c>
      <c r="J29" s="35">
        <v>0</v>
      </c>
      <c r="K29" s="36">
        <v>0</v>
      </c>
      <c r="L29" s="158">
        <v>0</v>
      </c>
      <c r="M29" s="36">
        <v>0</v>
      </c>
      <c r="N29" s="35">
        <v>0</v>
      </c>
      <c r="O29" s="36">
        <v>474179.5</v>
      </c>
      <c r="P29" s="158">
        <v>2574241.92</v>
      </c>
      <c r="Q29" s="129">
        <v>2551802.81</v>
      </c>
      <c r="R29" s="35"/>
      <c r="S29" s="34"/>
      <c r="T29" s="59">
        <v>0</v>
      </c>
      <c r="U29" s="36">
        <v>0</v>
      </c>
      <c r="V29" s="35"/>
      <c r="W29" s="36"/>
      <c r="X29" s="59"/>
      <c r="Y29" s="36">
        <v>0</v>
      </c>
      <c r="Z29" s="35">
        <v>1029400</v>
      </c>
      <c r="AA29" s="36">
        <v>1029400</v>
      </c>
      <c r="AB29" s="35">
        <v>1029400</v>
      </c>
    </row>
    <row r="30" spans="1:28" s="467" customFormat="1" ht="27.95" customHeight="1">
      <c r="A30" s="14" t="s">
        <v>44</v>
      </c>
      <c r="B30" s="169">
        <f>SUM(B19:B29)</f>
        <v>149171971.06000003</v>
      </c>
      <c r="C30" s="164">
        <f t="shared" ref="C30:D30" si="6">SUM(C19:C29)</f>
        <v>164825093.00679988</v>
      </c>
      <c r="D30" s="167">
        <f t="shared" si="6"/>
        <v>172340570.83836144</v>
      </c>
      <c r="E30" s="164">
        <f t="shared" ref="E30" si="7">SUM(E19:E29)</f>
        <v>144116218.36787573</v>
      </c>
      <c r="F30" s="169">
        <f t="shared" ref="F30" si="8">SUM(F19:F29)</f>
        <v>150491041.11981118</v>
      </c>
      <c r="G30" s="164">
        <f t="shared" ref="G30" si="9">SUM(G19:G29)</f>
        <v>154236901.78550762</v>
      </c>
      <c r="H30" s="167">
        <f t="shared" ref="H30" si="10">SUM(H19:H29)</f>
        <v>158652709.60704669</v>
      </c>
      <c r="I30" s="164">
        <f t="shared" ref="I30:N30" si="11">SUM(I19:I29)</f>
        <v>132657065.90926875</v>
      </c>
      <c r="J30" s="169">
        <f t="shared" si="11"/>
        <v>144239551.03370696</v>
      </c>
      <c r="K30" s="164">
        <f t="shared" si="11"/>
        <v>156873204.47</v>
      </c>
      <c r="L30" s="167">
        <f t="shared" si="11"/>
        <v>164379280.77000001</v>
      </c>
      <c r="M30" s="164">
        <f t="shared" si="11"/>
        <v>132352052.41999999</v>
      </c>
      <c r="N30" s="169">
        <f t="shared" si="11"/>
        <v>142387667.31999999</v>
      </c>
      <c r="O30" s="164">
        <v>159737528.53</v>
      </c>
      <c r="P30" s="167">
        <v>177548437.97999999</v>
      </c>
      <c r="Q30" s="168">
        <v>150810844.47</v>
      </c>
      <c r="R30" s="169">
        <v>134620425.38</v>
      </c>
      <c r="S30" s="170">
        <v>144655345.81</v>
      </c>
      <c r="T30" s="171">
        <v>151643464.43000001</v>
      </c>
      <c r="U30" s="164">
        <v>118058577.06</v>
      </c>
      <c r="V30" s="169">
        <v>102009833.33</v>
      </c>
      <c r="W30" s="164">
        <v>112941052.94</v>
      </c>
      <c r="X30" s="171">
        <v>133617498.59</v>
      </c>
      <c r="Y30" s="164">
        <v>101922575.65000001</v>
      </c>
      <c r="Z30" s="169">
        <v>96152524.079999998</v>
      </c>
      <c r="AA30" s="164">
        <v>112323269.52</v>
      </c>
      <c r="AB30" s="169">
        <v>114807298.19</v>
      </c>
    </row>
    <row r="31" spans="1:28" ht="27.95" customHeight="1">
      <c r="A31" s="10" t="s">
        <v>45</v>
      </c>
      <c r="B31" s="38">
        <f>SUM(B17,B30)</f>
        <v>393399096.81000006</v>
      </c>
      <c r="C31" s="39">
        <f t="shared" ref="C31:D31" si="12">SUM(C17,C30)</f>
        <v>408414284.87809986</v>
      </c>
      <c r="D31" s="160">
        <f t="shared" si="12"/>
        <v>411592033.93966138</v>
      </c>
      <c r="E31" s="39">
        <f t="shared" ref="E31" si="13">SUM(E17,E30)</f>
        <v>381565406.4691757</v>
      </c>
      <c r="F31" s="38">
        <f t="shared" ref="F31" si="14">SUM(F17,F30)</f>
        <v>382028593.51111114</v>
      </c>
      <c r="G31" s="39">
        <f t="shared" ref="G31" si="15">SUM(G17,G30)</f>
        <v>383189842.0968076</v>
      </c>
      <c r="H31" s="160">
        <f t="shared" ref="H31" si="16">SUM(H17,H30)</f>
        <v>386610914.87514675</v>
      </c>
      <c r="I31" s="39">
        <f t="shared" ref="I31:N31" si="17">SUM(I17,I30)</f>
        <v>360910954.96056873</v>
      </c>
      <c r="J31" s="38">
        <f t="shared" si="17"/>
        <v>370479304.82370698</v>
      </c>
      <c r="K31" s="39">
        <f t="shared" si="17"/>
        <v>382531688.42000002</v>
      </c>
      <c r="L31" s="160">
        <f t="shared" si="17"/>
        <v>389116830.48000002</v>
      </c>
      <c r="M31" s="39">
        <f t="shared" si="17"/>
        <v>354877392.49000001</v>
      </c>
      <c r="N31" s="38">
        <f t="shared" si="17"/>
        <v>357434193.40999997</v>
      </c>
      <c r="O31" s="39">
        <v>364805086.13</v>
      </c>
      <c r="P31" s="160">
        <v>380992424.24000001</v>
      </c>
      <c r="Q31" s="130">
        <v>351151367.77999997</v>
      </c>
      <c r="R31" s="38">
        <v>343204281.51999998</v>
      </c>
      <c r="S31" s="37">
        <v>349891429.37</v>
      </c>
      <c r="T31" s="60">
        <v>349282331.81</v>
      </c>
      <c r="U31" s="39">
        <v>307448754.75</v>
      </c>
      <c r="V31" s="38">
        <v>293979653.92000002</v>
      </c>
      <c r="W31" s="39">
        <v>302888485.00999999</v>
      </c>
      <c r="X31" s="60">
        <v>321698876.67000002</v>
      </c>
      <c r="Y31" s="39">
        <v>292167224.08999997</v>
      </c>
      <c r="Z31" s="38">
        <v>283247704.67000002</v>
      </c>
      <c r="AA31" s="39">
        <v>299304796.69999999</v>
      </c>
      <c r="AB31" s="38">
        <v>302780126.38</v>
      </c>
    </row>
    <row r="32" spans="1:28" ht="27.95" customHeight="1">
      <c r="A32" s="11"/>
      <c r="B32" s="444"/>
      <c r="C32" s="36"/>
      <c r="D32" s="158"/>
      <c r="E32" s="36"/>
      <c r="F32" s="444"/>
      <c r="G32" s="36"/>
      <c r="H32" s="158"/>
      <c r="I32" s="36"/>
      <c r="J32" s="42"/>
      <c r="K32" s="36"/>
      <c r="L32" s="158"/>
      <c r="M32" s="173"/>
      <c r="N32" s="42"/>
      <c r="O32" s="36"/>
      <c r="P32" s="158"/>
      <c r="Q32" s="127"/>
      <c r="R32" s="42"/>
      <c r="S32" s="32"/>
      <c r="T32" s="87"/>
      <c r="U32" s="12"/>
      <c r="V32" s="33"/>
      <c r="W32" s="12"/>
      <c r="X32" s="87"/>
      <c r="Y32" s="12"/>
      <c r="Z32" s="33"/>
      <c r="AA32" s="12"/>
      <c r="AB32" s="33"/>
    </row>
    <row r="33" spans="1:28" ht="27.95" customHeight="1">
      <c r="A33" s="10" t="s">
        <v>62</v>
      </c>
      <c r="B33" s="33"/>
      <c r="C33" s="39"/>
      <c r="D33" s="158"/>
      <c r="E33" s="39"/>
      <c r="F33" s="33"/>
      <c r="G33" s="39"/>
      <c r="H33" s="158"/>
      <c r="I33" s="39"/>
      <c r="J33" s="33"/>
      <c r="K33" s="39"/>
      <c r="L33" s="158"/>
      <c r="M33" s="39"/>
      <c r="N33" s="33"/>
      <c r="O33" s="39"/>
      <c r="P33" s="158"/>
      <c r="Q33" s="127"/>
      <c r="R33" s="33"/>
      <c r="S33" s="32"/>
      <c r="T33" s="87"/>
      <c r="U33" s="12"/>
      <c r="V33" s="33"/>
      <c r="W33" s="12"/>
      <c r="X33" s="87"/>
      <c r="Y33" s="12"/>
      <c r="Z33" s="33"/>
      <c r="AA33" s="12"/>
      <c r="AB33" s="33"/>
    </row>
    <row r="34" spans="1:28" ht="27.95" customHeight="1">
      <c r="A34" s="14" t="s">
        <v>11</v>
      </c>
      <c r="B34" s="33"/>
      <c r="C34" s="164"/>
      <c r="D34" s="158"/>
      <c r="E34" s="164"/>
      <c r="F34" s="33"/>
      <c r="G34" s="164"/>
      <c r="H34" s="158"/>
      <c r="I34" s="164"/>
      <c r="J34" s="33"/>
      <c r="K34" s="164"/>
      <c r="L34" s="158"/>
      <c r="M34" s="39"/>
      <c r="N34" s="33"/>
      <c r="O34" s="164"/>
      <c r="P34" s="158"/>
      <c r="Q34" s="127"/>
      <c r="R34" s="33"/>
      <c r="S34" s="32"/>
      <c r="T34" s="87"/>
      <c r="U34" s="12"/>
      <c r="V34" s="33"/>
      <c r="W34" s="12"/>
      <c r="X34" s="87"/>
      <c r="Y34" s="12"/>
      <c r="Z34" s="33"/>
      <c r="AA34" s="12"/>
      <c r="AB34" s="33"/>
    </row>
    <row r="35" spans="1:28" ht="27.95" customHeight="1">
      <c r="A35" s="11" t="s">
        <v>46</v>
      </c>
      <c r="B35" s="35">
        <v>21854000</v>
      </c>
      <c r="C35" s="36">
        <v>21854000</v>
      </c>
      <c r="D35" s="158">
        <v>21854000</v>
      </c>
      <c r="E35" s="36">
        <v>21854000</v>
      </c>
      <c r="F35" s="35">
        <v>21854000</v>
      </c>
      <c r="G35" s="36">
        <v>21854000</v>
      </c>
      <c r="H35" s="158">
        <v>21854000</v>
      </c>
      <c r="I35" s="36">
        <v>21854000</v>
      </c>
      <c r="J35" s="35">
        <v>21854000</v>
      </c>
      <c r="K35" s="36">
        <v>21854000</v>
      </c>
      <c r="L35" s="158">
        <v>21854000</v>
      </c>
      <c r="M35" s="36">
        <v>21854000</v>
      </c>
      <c r="N35" s="35">
        <v>21854000</v>
      </c>
      <c r="O35" s="36">
        <v>21854000</v>
      </c>
      <c r="P35" s="158">
        <v>21854000</v>
      </c>
      <c r="Q35" s="129">
        <v>21854000</v>
      </c>
      <c r="R35" s="35">
        <v>21854000</v>
      </c>
      <c r="S35" s="34">
        <v>21854000</v>
      </c>
      <c r="T35" s="59">
        <v>21854000</v>
      </c>
      <c r="U35" s="36">
        <v>21854000</v>
      </c>
      <c r="V35" s="35">
        <v>21854000</v>
      </c>
      <c r="W35" s="36">
        <v>21854000</v>
      </c>
      <c r="X35" s="59">
        <v>21854000</v>
      </c>
      <c r="Y35" s="36">
        <v>21854000</v>
      </c>
      <c r="Z35" s="35">
        <v>21854000</v>
      </c>
      <c r="AA35" s="36">
        <v>21854000</v>
      </c>
      <c r="AB35" s="35">
        <v>21854000</v>
      </c>
    </row>
    <row r="36" spans="1:28" ht="27.95" customHeight="1">
      <c r="A36" s="11" t="s">
        <v>47</v>
      </c>
      <c r="B36" s="35">
        <v>220323.47</v>
      </c>
      <c r="C36" s="36">
        <v>126021.33</v>
      </c>
      <c r="D36" s="158">
        <f>-143068.15+190943.09</f>
        <v>47874.94</v>
      </c>
      <c r="E36" s="36">
        <f>-113359.15+197526.28</f>
        <v>84167.13</v>
      </c>
      <c r="F36" s="35">
        <v>1057380.67</v>
      </c>
      <c r="G36" s="36">
        <f>1523398.36+207300.5</f>
        <v>1730698.86</v>
      </c>
      <c r="H36" s="158">
        <f>1253286.2+196872.26</f>
        <v>1450158.46</v>
      </c>
      <c r="I36" s="36">
        <f>1006407.01+226510.56</f>
        <v>1232917.57</v>
      </c>
      <c r="J36" s="35">
        <v>895574.93</v>
      </c>
      <c r="K36" s="36">
        <v>862826.9</v>
      </c>
      <c r="L36" s="158">
        <v>672672.74</v>
      </c>
      <c r="M36" s="36">
        <v>596217.72</v>
      </c>
      <c r="N36" s="35">
        <v>629341.76</v>
      </c>
      <c r="O36" s="36">
        <v>206404.34</v>
      </c>
      <c r="P36" s="158">
        <v>780086.9</v>
      </c>
      <c r="Q36" s="129">
        <v>692514.98</v>
      </c>
      <c r="R36" s="35">
        <v>440359.99</v>
      </c>
      <c r="S36" s="34">
        <v>371957.82</v>
      </c>
      <c r="T36" s="59">
        <v>856388.09</v>
      </c>
      <c r="U36" s="36">
        <v>-28132.28</v>
      </c>
      <c r="V36" s="35">
        <v>-608937.79</v>
      </c>
      <c r="W36" s="36">
        <v>-2856203.36</v>
      </c>
      <c r="X36" s="59">
        <v>-3333930.74</v>
      </c>
      <c r="Y36" s="36">
        <v>-2979617.5</v>
      </c>
      <c r="Z36" s="35">
        <v>-3222872.32</v>
      </c>
      <c r="AA36" s="36">
        <v>-3474664.72</v>
      </c>
      <c r="AB36" s="35">
        <v>-3885096.77</v>
      </c>
    </row>
    <row r="37" spans="1:28" ht="27.95" customHeight="1">
      <c r="A37" s="11" t="s">
        <v>48</v>
      </c>
      <c r="B37" s="35">
        <v>190263937.30000001</v>
      </c>
      <c r="C37" s="36">
        <v>193932055.16609985</v>
      </c>
      <c r="D37" s="158">
        <v>195114630.09686151</v>
      </c>
      <c r="E37" s="36">
        <v>188740280.99837559</v>
      </c>
      <c r="F37" s="35">
        <v>190631624.73031119</v>
      </c>
      <c r="G37" s="36">
        <v>189762146.14200759</v>
      </c>
      <c r="H37" s="158">
        <v>189111962.82634673</v>
      </c>
      <c r="I37" s="36">
        <v>185824989.58751196</v>
      </c>
      <c r="J37" s="35">
        <v>180394752.74665028</v>
      </c>
      <c r="K37" s="36">
        <v>183621037.63999999</v>
      </c>
      <c r="L37" s="158">
        <v>177875090.44</v>
      </c>
      <c r="M37" s="36">
        <v>175552114.88999999</v>
      </c>
      <c r="N37" s="35">
        <v>177337970.72999999</v>
      </c>
      <c r="O37" s="36">
        <v>183966598.66999999</v>
      </c>
      <c r="P37" s="158">
        <v>177017543.43000001</v>
      </c>
      <c r="Q37" s="129">
        <v>174494295.22999999</v>
      </c>
      <c r="R37" s="35">
        <v>176269446.06999999</v>
      </c>
      <c r="S37" s="34">
        <v>177442721.83000001</v>
      </c>
      <c r="T37" s="59">
        <v>167982550.11000001</v>
      </c>
      <c r="U37" s="36">
        <v>163136347.63</v>
      </c>
      <c r="V37" s="35">
        <v>167145836.38999999</v>
      </c>
      <c r="W37" s="36">
        <v>168534444.34999999</v>
      </c>
      <c r="X37" s="59">
        <v>163750711.25999999</v>
      </c>
      <c r="Y37" s="36">
        <v>160252357.78</v>
      </c>
      <c r="Z37" s="35">
        <v>158068429.68000001</v>
      </c>
      <c r="AA37" s="36">
        <v>159551316.80000001</v>
      </c>
      <c r="AB37" s="35">
        <v>157444375.97999999</v>
      </c>
    </row>
    <row r="38" spans="1:28" s="172" customFormat="1" ht="27.95" customHeight="1">
      <c r="A38" s="14" t="s">
        <v>181</v>
      </c>
      <c r="B38" s="169">
        <f t="shared" ref="B38:D38" si="18">SUM(B35:B37)</f>
        <v>212338260.77000001</v>
      </c>
      <c r="C38" s="164">
        <f t="shared" si="18"/>
        <v>215912076.49609983</v>
      </c>
      <c r="D38" s="167">
        <f t="shared" si="18"/>
        <v>217016505.03686151</v>
      </c>
      <c r="E38" s="164">
        <f t="shared" ref="E38" si="19">SUM(E35:E37)</f>
        <v>210678448.12837559</v>
      </c>
      <c r="F38" s="169">
        <f t="shared" ref="F38" si="20">SUM(F35:F37)</f>
        <v>213543005.40031117</v>
      </c>
      <c r="G38" s="164">
        <f t="shared" ref="G38" si="21">SUM(G35:G37)</f>
        <v>213346845.0020076</v>
      </c>
      <c r="H38" s="167">
        <f t="shared" ref="H38" si="22">SUM(H35:H37)</f>
        <v>212416121.28634673</v>
      </c>
      <c r="I38" s="164">
        <f t="shared" ref="I38:N38" si="23">SUM(I35:I37)</f>
        <v>208911907.15751195</v>
      </c>
      <c r="J38" s="169">
        <f t="shared" si="23"/>
        <v>203144327.67665029</v>
      </c>
      <c r="K38" s="164">
        <f t="shared" si="23"/>
        <v>206337864.53999999</v>
      </c>
      <c r="L38" s="167">
        <f t="shared" si="23"/>
        <v>200401763.18000001</v>
      </c>
      <c r="M38" s="164">
        <f t="shared" si="23"/>
        <v>198002332.60999998</v>
      </c>
      <c r="N38" s="169">
        <f t="shared" si="23"/>
        <v>199821312.48999998</v>
      </c>
      <c r="O38" s="164">
        <v>206027003.00999999</v>
      </c>
      <c r="P38" s="167">
        <v>199651630.33000001</v>
      </c>
      <c r="Q38" s="168">
        <v>197040810.21000001</v>
      </c>
      <c r="R38" s="169">
        <v>198563806.06</v>
      </c>
      <c r="S38" s="170">
        <v>199668679.65000001</v>
      </c>
      <c r="T38" s="171">
        <v>190692938.19999999</v>
      </c>
      <c r="U38" s="164">
        <v>184962215.34999999</v>
      </c>
      <c r="V38" s="169">
        <v>188390898.59999999</v>
      </c>
      <c r="W38" s="164">
        <v>187532240.99000001</v>
      </c>
      <c r="X38" s="171">
        <v>182270780.52000001</v>
      </c>
      <c r="Y38" s="164">
        <v>179126740.28</v>
      </c>
      <c r="Z38" s="169">
        <v>176699557.36000001</v>
      </c>
      <c r="AA38" s="164">
        <v>177930652.08000001</v>
      </c>
      <c r="AB38" s="169">
        <v>175413279.21000001</v>
      </c>
    </row>
    <row r="39" spans="1:28" ht="27.95" customHeight="1">
      <c r="A39" s="11" t="s">
        <v>182</v>
      </c>
      <c r="B39" s="35">
        <v>1524816.07</v>
      </c>
      <c r="C39" s="36">
        <v>926695.81200000038</v>
      </c>
      <c r="D39" s="158">
        <v>1114414.3428000004</v>
      </c>
      <c r="E39" s="36">
        <v>1227180.0708000003</v>
      </c>
      <c r="F39" s="35">
        <v>1370816.3008000008</v>
      </c>
      <c r="G39" s="36">
        <v>1488269.4148000001</v>
      </c>
      <c r="H39" s="158">
        <v>1698604.4688000006</v>
      </c>
      <c r="I39" s="36">
        <v>1848893.0558567364</v>
      </c>
      <c r="J39" s="35">
        <v>2476419.5570567362</v>
      </c>
      <c r="K39" s="36">
        <v>2557512.67</v>
      </c>
      <c r="L39" s="158">
        <v>2492781.54</v>
      </c>
      <c r="M39" s="36">
        <v>2607026.75</v>
      </c>
      <c r="N39" s="35">
        <v>2623586.06</v>
      </c>
      <c r="O39" s="36">
        <v>2885830.19</v>
      </c>
      <c r="P39" s="158">
        <v>2964184.33</v>
      </c>
      <c r="Q39" s="129">
        <v>2953687.95</v>
      </c>
      <c r="R39" s="35">
        <v>-78585.63</v>
      </c>
      <c r="S39" s="34">
        <v>-72762.45</v>
      </c>
      <c r="T39" s="59">
        <v>-29558.27</v>
      </c>
      <c r="U39" s="36">
        <v>-11027.02</v>
      </c>
      <c r="V39" s="35"/>
      <c r="W39" s="36"/>
      <c r="X39" s="59"/>
      <c r="Y39" s="36"/>
      <c r="Z39" s="35"/>
      <c r="AA39" s="36"/>
      <c r="AB39" s="35"/>
    </row>
    <row r="40" spans="1:28" s="467" customFormat="1" ht="27.95" customHeight="1">
      <c r="A40" s="14" t="s">
        <v>49</v>
      </c>
      <c r="B40" s="169">
        <f t="shared" ref="B40:D40" si="24">SUM(B38:B39)</f>
        <v>213863076.84</v>
      </c>
      <c r="C40" s="164">
        <f t="shared" si="24"/>
        <v>216838772.30809984</v>
      </c>
      <c r="D40" s="167">
        <f t="shared" si="24"/>
        <v>218130919.3796615</v>
      </c>
      <c r="E40" s="164">
        <f t="shared" ref="E40" si="25">SUM(E38:E39)</f>
        <v>211905628.1991756</v>
      </c>
      <c r="F40" s="169">
        <f t="shared" ref="F40" si="26">SUM(F38:F39)</f>
        <v>214913821.70111117</v>
      </c>
      <c r="G40" s="164">
        <f t="shared" ref="G40" si="27">SUM(G38:G39)</f>
        <v>214835114.41680759</v>
      </c>
      <c r="H40" s="167">
        <f t="shared" ref="H40" si="28">SUM(H38:H39)</f>
        <v>214114725.75514674</v>
      </c>
      <c r="I40" s="164">
        <f t="shared" ref="I40:N40" si="29">SUM(I38:I39)</f>
        <v>210760800.21336868</v>
      </c>
      <c r="J40" s="169">
        <f t="shared" si="29"/>
        <v>205620747.23370701</v>
      </c>
      <c r="K40" s="164">
        <f t="shared" si="29"/>
        <v>208895377.20999998</v>
      </c>
      <c r="L40" s="167">
        <f t="shared" si="29"/>
        <v>202894544.72</v>
      </c>
      <c r="M40" s="164">
        <f t="shared" si="29"/>
        <v>200609359.35999998</v>
      </c>
      <c r="N40" s="169">
        <f t="shared" si="29"/>
        <v>202444898.54999998</v>
      </c>
      <c r="O40" s="164">
        <v>208912833.19999999</v>
      </c>
      <c r="P40" s="167">
        <v>202615814.66</v>
      </c>
      <c r="Q40" s="168">
        <v>199994498.16</v>
      </c>
      <c r="R40" s="169">
        <v>198485220.43000001</v>
      </c>
      <c r="S40" s="170">
        <v>199595917.19999999</v>
      </c>
      <c r="T40" s="171">
        <v>190663379.93000001</v>
      </c>
      <c r="U40" s="164">
        <v>184951188.33000001</v>
      </c>
      <c r="V40" s="169">
        <v>188390898.59999999</v>
      </c>
      <c r="W40" s="164">
        <v>187532240.99000001</v>
      </c>
      <c r="X40" s="171">
        <v>182270780.52000001</v>
      </c>
      <c r="Y40" s="164">
        <v>179126740.28</v>
      </c>
      <c r="Z40" s="169">
        <v>176699557.36000001</v>
      </c>
      <c r="AA40" s="164">
        <v>177930652.08000001</v>
      </c>
      <c r="AB40" s="169">
        <v>175413279.21000001</v>
      </c>
    </row>
    <row r="41" spans="1:28" ht="27.95" customHeight="1">
      <c r="A41" s="11"/>
      <c r="B41" s="35"/>
      <c r="C41" s="36"/>
      <c r="D41" s="158"/>
      <c r="E41" s="36"/>
      <c r="F41" s="35"/>
      <c r="G41" s="36"/>
      <c r="H41" s="158"/>
      <c r="I41" s="36"/>
      <c r="J41" s="35"/>
      <c r="K41" s="36"/>
      <c r="L41" s="158"/>
      <c r="M41" s="36"/>
      <c r="N41" s="35"/>
      <c r="O41" s="36"/>
      <c r="P41" s="158"/>
      <c r="Q41" s="126"/>
      <c r="R41" s="35"/>
      <c r="S41" s="34"/>
      <c r="T41" s="59"/>
      <c r="U41" s="36"/>
      <c r="V41" s="35"/>
      <c r="W41" s="36"/>
      <c r="X41" s="59"/>
      <c r="Y41" s="36"/>
      <c r="Z41" s="35"/>
      <c r="AA41" s="36"/>
      <c r="AB41" s="35"/>
    </row>
    <row r="42" spans="1:28" ht="27.95" customHeight="1">
      <c r="A42" s="14" t="s">
        <v>50</v>
      </c>
      <c r="B42" s="35"/>
      <c r="C42" s="164"/>
      <c r="D42" s="158"/>
      <c r="E42" s="164"/>
      <c r="F42" s="35"/>
      <c r="G42" s="164"/>
      <c r="H42" s="158"/>
      <c r="I42" s="164"/>
      <c r="J42" s="35"/>
      <c r="K42" s="164"/>
      <c r="L42" s="158"/>
      <c r="M42" s="39"/>
      <c r="N42" s="35"/>
      <c r="O42" s="164"/>
      <c r="P42" s="158"/>
      <c r="Q42" s="126"/>
      <c r="R42" s="35"/>
      <c r="S42" s="34"/>
      <c r="T42" s="59"/>
      <c r="U42" s="36"/>
      <c r="V42" s="35"/>
      <c r="W42" s="36"/>
      <c r="X42" s="59"/>
      <c r="Y42" s="36"/>
      <c r="Z42" s="35"/>
      <c r="AA42" s="36"/>
      <c r="AB42" s="35"/>
    </row>
    <row r="43" spans="1:28" ht="27.95" customHeight="1">
      <c r="A43" s="14" t="s">
        <v>12</v>
      </c>
      <c r="B43" s="445"/>
      <c r="C43" s="164"/>
      <c r="D43" s="158"/>
      <c r="E43" s="164"/>
      <c r="F43" s="445"/>
      <c r="G43" s="164"/>
      <c r="H43" s="158"/>
      <c r="I43" s="164"/>
      <c r="J43" s="41"/>
      <c r="K43" s="164"/>
      <c r="L43" s="158"/>
      <c r="M43" s="165"/>
      <c r="N43" s="41"/>
      <c r="O43" s="164"/>
      <c r="P43" s="158"/>
      <c r="Q43" s="126"/>
      <c r="R43" s="41"/>
      <c r="S43" s="40"/>
      <c r="T43" s="88"/>
      <c r="U43" s="40"/>
      <c r="V43" s="41"/>
      <c r="W43" s="40"/>
      <c r="X43" s="88"/>
      <c r="Y43" s="40"/>
      <c r="Z43" s="41"/>
      <c r="AA43" s="40"/>
      <c r="AB43" s="35"/>
    </row>
    <row r="44" spans="1:28" ht="27.95" customHeight="1">
      <c r="A44" s="11" t="s">
        <v>51</v>
      </c>
      <c r="B44" s="35">
        <v>27036391.989999998</v>
      </c>
      <c r="C44" s="36">
        <v>24487585.84</v>
      </c>
      <c r="D44" s="158">
        <v>23996249.910000004</v>
      </c>
      <c r="E44" s="36">
        <v>19118730.109999999</v>
      </c>
      <c r="F44" s="35">
        <v>19381057.32</v>
      </c>
      <c r="G44" s="36">
        <v>18746526.459999997</v>
      </c>
      <c r="H44" s="158">
        <v>20098570.249999996</v>
      </c>
      <c r="I44" s="36">
        <v>22750760.189999998</v>
      </c>
      <c r="J44" s="35">
        <v>25085281.820000004</v>
      </c>
      <c r="K44" s="36">
        <v>30116352.309999999</v>
      </c>
      <c r="L44" s="158">
        <v>28005746.510000002</v>
      </c>
      <c r="M44" s="36">
        <v>30152220.030000001</v>
      </c>
      <c r="N44" s="35">
        <v>38220031.840000004</v>
      </c>
      <c r="O44" s="36">
        <v>35130886.57</v>
      </c>
      <c r="P44" s="158">
        <v>33660905.659999996</v>
      </c>
      <c r="Q44" s="129">
        <v>31335311.030000001</v>
      </c>
      <c r="R44" s="35">
        <v>35529745.030000001</v>
      </c>
      <c r="S44" s="34">
        <v>34084031.409999996</v>
      </c>
      <c r="T44" s="59">
        <v>36515063.920000002</v>
      </c>
      <c r="U44" s="36">
        <v>31229464.91</v>
      </c>
      <c r="V44" s="35">
        <v>15080161.390000001</v>
      </c>
      <c r="W44" s="36">
        <v>15319259.6</v>
      </c>
      <c r="X44" s="59">
        <v>17027988.530000001</v>
      </c>
      <c r="Y44" s="36">
        <v>16612658.199999999</v>
      </c>
      <c r="Z44" s="35">
        <v>20100589.289999999</v>
      </c>
      <c r="AA44" s="36">
        <v>20584820.129999999</v>
      </c>
      <c r="AB44" s="35">
        <v>24836416.899999999</v>
      </c>
    </row>
    <row r="45" spans="1:28" ht="27.95" customHeight="1">
      <c r="A45" s="11" t="s">
        <v>52</v>
      </c>
      <c r="B45" s="35">
        <v>8112095.1399999997</v>
      </c>
      <c r="C45" s="36">
        <v>8119930.9900000002</v>
      </c>
      <c r="D45" s="158">
        <v>6861545.21</v>
      </c>
      <c r="E45" s="36">
        <v>7328278.8400000008</v>
      </c>
      <c r="F45" s="35">
        <v>5753688.2500000009</v>
      </c>
      <c r="G45" s="36">
        <v>4467715.43</v>
      </c>
      <c r="H45" s="158">
        <v>4020860.9600000004</v>
      </c>
      <c r="I45" s="36">
        <v>4112218.46</v>
      </c>
      <c r="J45" s="35">
        <v>4182932.8299999996</v>
      </c>
      <c r="K45" s="36">
        <v>4303897.33</v>
      </c>
      <c r="L45" s="158">
        <v>2894056.53</v>
      </c>
      <c r="M45" s="36">
        <v>1234999.07</v>
      </c>
      <c r="N45" s="35">
        <v>1033265.61</v>
      </c>
      <c r="O45" s="36">
        <v>1073680.29</v>
      </c>
      <c r="P45" s="158">
        <v>2837188.69</v>
      </c>
      <c r="Q45" s="129">
        <v>2903817.7</v>
      </c>
      <c r="R45" s="35">
        <v>2986019.31</v>
      </c>
      <c r="S45" s="34">
        <v>3006996.63</v>
      </c>
      <c r="T45" s="59">
        <v>3009222.82</v>
      </c>
      <c r="U45" s="36">
        <v>3070529.56</v>
      </c>
      <c r="V45" s="35">
        <v>2854768.61</v>
      </c>
      <c r="W45" s="36">
        <v>2748847.63</v>
      </c>
      <c r="X45" s="59">
        <v>2788975.76</v>
      </c>
      <c r="Y45" s="36">
        <v>2783687.8</v>
      </c>
      <c r="Z45" s="35">
        <v>1638431.31</v>
      </c>
      <c r="AA45" s="36">
        <v>1649258.64</v>
      </c>
      <c r="AB45" s="35">
        <v>1873263.09</v>
      </c>
    </row>
    <row r="46" spans="1:28" ht="27.95" customHeight="1">
      <c r="A46" s="11" t="s">
        <v>184</v>
      </c>
      <c r="B46" s="35">
        <v>581234</v>
      </c>
      <c r="C46" s="36">
        <v>581234</v>
      </c>
      <c r="D46" s="158">
        <v>581234</v>
      </c>
      <c r="E46" s="36">
        <v>581234</v>
      </c>
      <c r="F46" s="35">
        <v>425078</v>
      </c>
      <c r="G46" s="36">
        <v>425078</v>
      </c>
      <c r="H46" s="158">
        <v>425078</v>
      </c>
      <c r="I46" s="36">
        <v>425078</v>
      </c>
      <c r="J46" s="35">
        <v>344136</v>
      </c>
      <c r="K46" s="36">
        <v>344136</v>
      </c>
      <c r="L46" s="158">
        <v>344136</v>
      </c>
      <c r="M46" s="36">
        <v>342181</v>
      </c>
      <c r="N46" s="35">
        <v>325564</v>
      </c>
      <c r="O46" s="36">
        <v>325564</v>
      </c>
      <c r="P46" s="158">
        <v>325564</v>
      </c>
      <c r="Q46" s="129">
        <v>325564</v>
      </c>
      <c r="R46" s="35">
        <v>227494</v>
      </c>
      <c r="S46" s="34">
        <v>227494</v>
      </c>
      <c r="T46" s="59">
        <v>227494</v>
      </c>
      <c r="U46" s="36">
        <v>227494</v>
      </c>
      <c r="V46" s="35">
        <v>293761.34000000003</v>
      </c>
      <c r="W46" s="36">
        <v>293761.34000000003</v>
      </c>
      <c r="X46" s="59">
        <v>276005</v>
      </c>
      <c r="Y46" s="36">
        <v>276005</v>
      </c>
      <c r="Z46" s="35">
        <v>461275</v>
      </c>
      <c r="AA46" s="36">
        <v>461275</v>
      </c>
      <c r="AB46" s="35">
        <v>454118</v>
      </c>
    </row>
    <row r="47" spans="1:28" ht="27.95" customHeight="1">
      <c r="A47" s="11" t="s">
        <v>53</v>
      </c>
      <c r="B47" s="35">
        <v>13751509</v>
      </c>
      <c r="C47" s="36">
        <v>14153428</v>
      </c>
      <c r="D47" s="158">
        <v>14263693</v>
      </c>
      <c r="E47" s="36">
        <v>14357568</v>
      </c>
      <c r="F47" s="35">
        <v>14461202.76</v>
      </c>
      <c r="G47" s="36">
        <v>14614319.76</v>
      </c>
      <c r="H47" s="158">
        <v>14899884.359999999</v>
      </c>
      <c r="I47" s="36">
        <v>14872865.8684</v>
      </c>
      <c r="J47" s="35">
        <v>13954516.6</v>
      </c>
      <c r="K47" s="36">
        <v>13741280.6</v>
      </c>
      <c r="L47" s="158">
        <v>13331525.199999999</v>
      </c>
      <c r="M47" s="36">
        <v>14253152.199999999</v>
      </c>
      <c r="N47" s="35">
        <v>12836885.210000001</v>
      </c>
      <c r="O47" s="36">
        <v>11989621.98</v>
      </c>
      <c r="P47" s="158">
        <v>11032670.27</v>
      </c>
      <c r="Q47" s="129">
        <v>12974591.27</v>
      </c>
      <c r="R47" s="35">
        <v>12167984.220000001</v>
      </c>
      <c r="S47" s="34">
        <v>11913390.050000001</v>
      </c>
      <c r="T47" s="59">
        <v>12680731.92</v>
      </c>
      <c r="U47" s="36">
        <v>12239920.689999999</v>
      </c>
      <c r="V47" s="35">
        <v>12529327.41</v>
      </c>
      <c r="W47" s="36">
        <v>11668011.77</v>
      </c>
      <c r="X47" s="59">
        <v>11943835.029999999</v>
      </c>
      <c r="Y47" s="36">
        <v>11151979.970000001</v>
      </c>
      <c r="Z47" s="35">
        <v>12367676.25</v>
      </c>
      <c r="AA47" s="36">
        <v>12026739.58</v>
      </c>
      <c r="AB47" s="35">
        <v>11410817.02</v>
      </c>
    </row>
    <row r="48" spans="1:28" s="467" customFormat="1" ht="27.95" customHeight="1">
      <c r="A48" s="14" t="s">
        <v>54</v>
      </c>
      <c r="B48" s="169">
        <f t="shared" ref="B48:D48" si="30">SUM(B44:B47)</f>
        <v>49481230.129999995</v>
      </c>
      <c r="C48" s="164">
        <f t="shared" si="30"/>
        <v>47342178.829999998</v>
      </c>
      <c r="D48" s="167">
        <f t="shared" si="30"/>
        <v>45702722.120000005</v>
      </c>
      <c r="E48" s="164">
        <f t="shared" ref="E48" si="31">SUM(E44:E47)</f>
        <v>41385810.950000003</v>
      </c>
      <c r="F48" s="169">
        <f t="shared" ref="F48" si="32">SUM(F44:F47)</f>
        <v>40021026.329999998</v>
      </c>
      <c r="G48" s="164">
        <f t="shared" ref="G48" si="33">SUM(G44:G47)</f>
        <v>38253639.649999999</v>
      </c>
      <c r="H48" s="167">
        <f t="shared" ref="H48" si="34">SUM(H44:H47)</f>
        <v>39444393.569999993</v>
      </c>
      <c r="I48" s="164">
        <f t="shared" ref="I48:N48" si="35">SUM(I44:I47)</f>
        <v>42160922.518399999</v>
      </c>
      <c r="J48" s="169">
        <f t="shared" si="35"/>
        <v>43566867.25</v>
      </c>
      <c r="K48" s="164">
        <f t="shared" si="35"/>
        <v>48505666.240000002</v>
      </c>
      <c r="L48" s="167">
        <f t="shared" si="35"/>
        <v>44575464.240000002</v>
      </c>
      <c r="M48" s="164">
        <f t="shared" si="35"/>
        <v>45982552.299999997</v>
      </c>
      <c r="N48" s="169">
        <f t="shared" si="35"/>
        <v>52415746.660000004</v>
      </c>
      <c r="O48" s="164">
        <v>48519752.840000004</v>
      </c>
      <c r="P48" s="167">
        <v>47856328.619999997</v>
      </c>
      <c r="Q48" s="168">
        <v>47539284</v>
      </c>
      <c r="R48" s="169">
        <v>50911242.560000002</v>
      </c>
      <c r="S48" s="170">
        <v>49231912.090000004</v>
      </c>
      <c r="T48" s="171">
        <v>52432512.659999996</v>
      </c>
      <c r="U48" s="164">
        <v>46767409.159999996</v>
      </c>
      <c r="V48" s="169">
        <v>30758018.75</v>
      </c>
      <c r="W48" s="164">
        <v>30029880.34</v>
      </c>
      <c r="X48" s="171">
        <v>32036804.32</v>
      </c>
      <c r="Y48" s="164">
        <v>30824330.969999999</v>
      </c>
      <c r="Z48" s="169">
        <v>34567971.850000001</v>
      </c>
      <c r="AA48" s="164">
        <v>34722093.350000001</v>
      </c>
      <c r="AB48" s="169">
        <v>38574615.009999998</v>
      </c>
    </row>
    <row r="49" spans="1:28" ht="27.95" customHeight="1">
      <c r="A49" s="11"/>
      <c r="B49" s="35"/>
      <c r="C49" s="36"/>
      <c r="D49" s="158"/>
      <c r="E49" s="36"/>
      <c r="F49" s="35"/>
      <c r="G49" s="36"/>
      <c r="H49" s="158"/>
      <c r="I49" s="36"/>
      <c r="J49" s="35"/>
      <c r="K49" s="36"/>
      <c r="L49" s="158"/>
      <c r="M49" s="36"/>
      <c r="N49" s="35"/>
      <c r="O49" s="36"/>
      <c r="P49" s="158"/>
      <c r="Q49" s="126"/>
      <c r="R49" s="35"/>
      <c r="S49" s="34"/>
      <c r="T49" s="59"/>
      <c r="U49" s="36"/>
      <c r="V49" s="35"/>
      <c r="W49" s="36"/>
      <c r="X49" s="59"/>
      <c r="Y49" s="36"/>
      <c r="Z49" s="35"/>
      <c r="AA49" s="36"/>
      <c r="AB49" s="35"/>
    </row>
    <row r="50" spans="1:28" ht="27.95" customHeight="1">
      <c r="A50" s="14" t="s">
        <v>13</v>
      </c>
      <c r="B50" s="445"/>
      <c r="C50" s="164"/>
      <c r="D50" s="158"/>
      <c r="E50" s="164"/>
      <c r="F50" s="445"/>
      <c r="G50" s="164"/>
      <c r="H50" s="158"/>
      <c r="I50" s="164"/>
      <c r="J50" s="41"/>
      <c r="K50" s="164"/>
      <c r="L50" s="158"/>
      <c r="M50" s="165"/>
      <c r="N50" s="41"/>
      <c r="O50" s="164"/>
      <c r="P50" s="158"/>
      <c r="Q50" s="126"/>
      <c r="R50" s="41"/>
      <c r="S50" s="40"/>
      <c r="T50" s="88"/>
      <c r="U50" s="40"/>
      <c r="V50" s="41"/>
      <c r="W50" s="40"/>
      <c r="X50" s="88"/>
      <c r="Y50" s="40"/>
      <c r="Z50" s="41"/>
      <c r="AA50" s="40"/>
      <c r="AB50" s="35"/>
    </row>
    <row r="51" spans="1:28" ht="27.95" customHeight="1">
      <c r="A51" s="11" t="s">
        <v>51</v>
      </c>
      <c r="B51" s="35">
        <v>81101735.400000006</v>
      </c>
      <c r="C51" s="36">
        <v>78084132.399999991</v>
      </c>
      <c r="D51" s="158">
        <v>82060993.800000012</v>
      </c>
      <c r="E51" s="36">
        <v>63838070.130000003</v>
      </c>
      <c r="F51" s="35">
        <v>73941898.190000013</v>
      </c>
      <c r="G51" s="36">
        <v>65252999.450000003</v>
      </c>
      <c r="H51" s="158">
        <v>67397084.589999989</v>
      </c>
      <c r="I51" s="36">
        <v>51761455.320000008</v>
      </c>
      <c r="J51" s="35">
        <v>69071386.320000008</v>
      </c>
      <c r="K51" s="36">
        <v>58420134.32</v>
      </c>
      <c r="L51" s="158">
        <v>71651640.780000001</v>
      </c>
      <c r="M51" s="36">
        <v>54442966.049999997</v>
      </c>
      <c r="N51" s="35">
        <v>49739137.289999999</v>
      </c>
      <c r="O51" s="36">
        <v>45173011.899999999</v>
      </c>
      <c r="P51" s="158">
        <v>51509679.740000002</v>
      </c>
      <c r="Q51" s="129">
        <v>48740445.299999997</v>
      </c>
      <c r="R51" s="35">
        <v>45379370.140000001</v>
      </c>
      <c r="S51" s="34">
        <v>41718475.299999997</v>
      </c>
      <c r="T51" s="59">
        <v>47892166.859999999</v>
      </c>
      <c r="U51" s="36">
        <v>37416925.369999997</v>
      </c>
      <c r="V51" s="35">
        <v>43373807.57</v>
      </c>
      <c r="W51" s="36">
        <v>41310471.479999997</v>
      </c>
      <c r="X51" s="59">
        <v>50697838.119999997</v>
      </c>
      <c r="Y51" s="36">
        <v>46613167.759999998</v>
      </c>
      <c r="Z51" s="35">
        <v>38955996.119999997</v>
      </c>
      <c r="AA51" s="36">
        <v>38737501.229999997</v>
      </c>
      <c r="AB51" s="35">
        <v>40452002.700000003</v>
      </c>
    </row>
    <row r="52" spans="1:28" ht="27.95" customHeight="1">
      <c r="A52" s="11" t="s">
        <v>55</v>
      </c>
      <c r="B52" s="35">
        <v>27834409.960000001</v>
      </c>
      <c r="C52" s="36">
        <v>39483909.480000004</v>
      </c>
      <c r="D52" s="158">
        <v>46002983.689999983</v>
      </c>
      <c r="E52" s="36">
        <v>39320630.910000004</v>
      </c>
      <c r="F52" s="35">
        <v>34436226.100000009</v>
      </c>
      <c r="G52" s="36">
        <v>46137389.299999997</v>
      </c>
      <c r="H52" s="158">
        <v>46679121.019999996</v>
      </c>
      <c r="I52" s="36">
        <v>41234243.300000004</v>
      </c>
      <c r="J52" s="35">
        <v>37345168.949999988</v>
      </c>
      <c r="K52" s="36">
        <v>47635155.340000004</v>
      </c>
      <c r="L52" s="158">
        <v>50697899.909999996</v>
      </c>
      <c r="M52" s="36">
        <v>36258751.659999996</v>
      </c>
      <c r="N52" s="35">
        <v>36308391.689999998</v>
      </c>
      <c r="O52" s="36">
        <v>42776678.829999998</v>
      </c>
      <c r="P52" s="158">
        <v>61866471.530000001</v>
      </c>
      <c r="Q52" s="129">
        <v>38925395.729999997</v>
      </c>
      <c r="R52" s="35">
        <v>33234066.579999998</v>
      </c>
      <c r="S52" s="34">
        <v>38970991.789999999</v>
      </c>
      <c r="T52" s="59">
        <v>44407916.799999997</v>
      </c>
      <c r="U52" s="36">
        <v>30036616.420000002</v>
      </c>
      <c r="V52" s="35">
        <v>23348861.699999999</v>
      </c>
      <c r="W52" s="36">
        <v>33992147.780000001</v>
      </c>
      <c r="X52" s="59">
        <v>44821633.280000001</v>
      </c>
      <c r="Y52" s="36">
        <v>25485205.969999999</v>
      </c>
      <c r="Z52" s="35">
        <v>23422616.170000002</v>
      </c>
      <c r="AA52" s="36">
        <v>37795435.200000003</v>
      </c>
      <c r="AB52" s="35">
        <v>36390649.359999999</v>
      </c>
    </row>
    <row r="53" spans="1:28" ht="27.95" customHeight="1">
      <c r="A53" s="11" t="s">
        <v>56</v>
      </c>
      <c r="B53" s="35">
        <v>824786</v>
      </c>
      <c r="C53" s="36">
        <v>1079837</v>
      </c>
      <c r="D53" s="158">
        <v>1459324</v>
      </c>
      <c r="E53" s="36">
        <v>256934</v>
      </c>
      <c r="F53" s="35">
        <v>665058</v>
      </c>
      <c r="G53" s="36">
        <v>381403</v>
      </c>
      <c r="H53" s="158">
        <v>378955</v>
      </c>
      <c r="I53" s="36">
        <v>345684</v>
      </c>
      <c r="J53" s="35">
        <v>0</v>
      </c>
      <c r="K53" s="36">
        <v>975925</v>
      </c>
      <c r="L53" s="158">
        <v>23108</v>
      </c>
      <c r="M53" s="36">
        <v>152290.67000000001</v>
      </c>
      <c r="N53" s="35">
        <v>1860518</v>
      </c>
      <c r="O53" s="36">
        <v>4078244</v>
      </c>
      <c r="P53" s="158">
        <v>1584951</v>
      </c>
      <c r="Q53" s="129">
        <v>174388</v>
      </c>
      <c r="R53" s="35">
        <v>2376994.5</v>
      </c>
      <c r="S53" s="34">
        <v>3026404</v>
      </c>
      <c r="T53" s="59">
        <v>652067</v>
      </c>
      <c r="U53" s="36">
        <v>0</v>
      </c>
      <c r="V53" s="35">
        <v>263464</v>
      </c>
      <c r="W53" s="36">
        <v>1149143</v>
      </c>
      <c r="X53" s="59">
        <v>0</v>
      </c>
      <c r="Y53" s="36">
        <v>0</v>
      </c>
      <c r="Z53" s="35">
        <v>0</v>
      </c>
      <c r="AA53" s="36">
        <v>0</v>
      </c>
      <c r="AB53" s="35">
        <v>0</v>
      </c>
    </row>
    <row r="54" spans="1:28" ht="27.95" customHeight="1">
      <c r="A54" s="11" t="s">
        <v>123</v>
      </c>
      <c r="B54" s="35">
        <v>0</v>
      </c>
      <c r="C54" s="36">
        <v>396618.86</v>
      </c>
      <c r="D54" s="158">
        <v>376840.82</v>
      </c>
      <c r="E54" s="36">
        <v>552627.5</v>
      </c>
      <c r="F54" s="35">
        <v>0</v>
      </c>
      <c r="G54" s="36">
        <v>0</v>
      </c>
      <c r="H54" s="158">
        <v>431172.66</v>
      </c>
      <c r="I54" s="36">
        <v>431172.66</v>
      </c>
      <c r="J54" s="35">
        <v>189843.65</v>
      </c>
      <c r="K54" s="36">
        <v>189843.65</v>
      </c>
      <c r="L54" s="158">
        <v>337578.77</v>
      </c>
      <c r="M54" s="36">
        <v>337578.77</v>
      </c>
      <c r="N54" s="35">
        <v>146278.97</v>
      </c>
      <c r="O54" s="36">
        <v>146278.97</v>
      </c>
      <c r="P54" s="158">
        <v>177054.33</v>
      </c>
      <c r="Q54" s="129">
        <v>177054.33</v>
      </c>
      <c r="R54" s="35">
        <v>481582.62</v>
      </c>
      <c r="S54" s="34">
        <v>481582.62</v>
      </c>
      <c r="T54" s="59">
        <v>469124.19</v>
      </c>
      <c r="U54" s="36">
        <v>469124.19</v>
      </c>
      <c r="V54" s="35">
        <v>68663.179999999993</v>
      </c>
      <c r="W54" s="36">
        <v>187078.68</v>
      </c>
      <c r="X54" s="59">
        <v>172911.31</v>
      </c>
      <c r="Y54" s="36">
        <v>172000</v>
      </c>
      <c r="Z54" s="35">
        <v>164502.13</v>
      </c>
      <c r="AA54" s="36">
        <v>164502.13</v>
      </c>
      <c r="AB54" s="35">
        <v>806060.76</v>
      </c>
    </row>
    <row r="55" spans="1:28" ht="27.95" customHeight="1">
      <c r="A55" s="11" t="s">
        <v>52</v>
      </c>
      <c r="B55" s="35">
        <v>15568400.93</v>
      </c>
      <c r="C55" s="36">
        <v>20361819.600000001</v>
      </c>
      <c r="D55" s="158">
        <v>12897268.789999999</v>
      </c>
      <c r="E55" s="36">
        <v>18880200.140000001</v>
      </c>
      <c r="F55" s="35">
        <v>13810432.390000001</v>
      </c>
      <c r="G55" s="36">
        <v>14173354.560000001</v>
      </c>
      <c r="H55" s="158">
        <v>13707545.030000001</v>
      </c>
      <c r="I55" s="36">
        <v>9462422.8499999996</v>
      </c>
      <c r="J55" s="35">
        <v>10526331.939999998</v>
      </c>
      <c r="K55" s="36">
        <v>13776758.92</v>
      </c>
      <c r="L55" s="158">
        <v>14792079.550000001</v>
      </c>
      <c r="M55" s="36">
        <v>13998308</v>
      </c>
      <c r="N55" s="35">
        <v>11692269.57</v>
      </c>
      <c r="O55" s="36">
        <v>12413325.029999999</v>
      </c>
      <c r="P55" s="158">
        <v>15173843.359999999</v>
      </c>
      <c r="Q55" s="129">
        <v>15235586.84</v>
      </c>
      <c r="R55" s="35">
        <v>12164255.310000001</v>
      </c>
      <c r="S55" s="34">
        <v>16702436.25</v>
      </c>
      <c r="T55" s="59">
        <v>12599208.76</v>
      </c>
      <c r="U55" s="36">
        <v>7593653.4199999999</v>
      </c>
      <c r="V55" s="35">
        <v>7628139.5499999998</v>
      </c>
      <c r="W55" s="36">
        <v>8461031.6899999995</v>
      </c>
      <c r="X55" s="59">
        <v>11369677.470000001</v>
      </c>
      <c r="Y55" s="36">
        <v>9126160.0800000001</v>
      </c>
      <c r="Z55" s="35">
        <v>8888628.5600000005</v>
      </c>
      <c r="AA55" s="36">
        <v>8412080.5</v>
      </c>
      <c r="AB55" s="35">
        <v>8937456.7200000007</v>
      </c>
    </row>
    <row r="56" spans="1:28" ht="27.95" customHeight="1">
      <c r="A56" s="11" t="s">
        <v>184</v>
      </c>
      <c r="B56" s="35">
        <v>4419009.62</v>
      </c>
      <c r="C56" s="36">
        <v>4542216.3999999994</v>
      </c>
      <c r="D56" s="158">
        <v>4658985.5</v>
      </c>
      <c r="E56" s="36">
        <v>4830841.8499999987</v>
      </c>
      <c r="F56" s="35">
        <v>4201066.84</v>
      </c>
      <c r="G56" s="36">
        <v>4155241.7199999993</v>
      </c>
      <c r="H56" s="158">
        <v>4457217.25</v>
      </c>
      <c r="I56" s="36">
        <v>4597964.4400000004</v>
      </c>
      <c r="J56" s="35">
        <v>4067906.6799999992</v>
      </c>
      <c r="K56" s="36">
        <v>4104937.9</v>
      </c>
      <c r="L56" s="158">
        <v>4143355.61</v>
      </c>
      <c r="M56" s="36">
        <v>3083490.35</v>
      </c>
      <c r="N56" s="35">
        <v>2787592.77</v>
      </c>
      <c r="O56" s="36">
        <v>2784261.36</v>
      </c>
      <c r="P56" s="158">
        <v>207581</v>
      </c>
      <c r="Q56" s="129">
        <v>207581</v>
      </c>
      <c r="R56" s="35">
        <v>159860.12</v>
      </c>
      <c r="S56" s="34">
        <v>159860.12</v>
      </c>
      <c r="T56" s="59">
        <v>159860.12</v>
      </c>
      <c r="U56" s="36">
        <v>194860.12</v>
      </c>
      <c r="V56" s="35">
        <v>104200.57</v>
      </c>
      <c r="W56" s="36">
        <v>104200.57</v>
      </c>
      <c r="X56" s="59">
        <v>109913.06</v>
      </c>
      <c r="Y56" s="36">
        <v>256368.45</v>
      </c>
      <c r="Z56" s="35">
        <v>378972</v>
      </c>
      <c r="AA56" s="36">
        <v>378972</v>
      </c>
      <c r="AB56" s="35">
        <v>1078061.81</v>
      </c>
    </row>
    <row r="57" spans="1:28" ht="27.95" customHeight="1">
      <c r="A57" s="11" t="s">
        <v>57</v>
      </c>
      <c r="B57" s="35">
        <v>306447.93</v>
      </c>
      <c r="C57" s="36">
        <v>284800</v>
      </c>
      <c r="D57" s="158">
        <v>301995.84000000003</v>
      </c>
      <c r="E57" s="36">
        <v>594662.79</v>
      </c>
      <c r="F57" s="35">
        <v>39063.96</v>
      </c>
      <c r="G57" s="36">
        <v>700</v>
      </c>
      <c r="H57" s="158">
        <v>700</v>
      </c>
      <c r="I57" s="36">
        <v>156289.66</v>
      </c>
      <c r="J57" s="35">
        <v>91052.800000000003</v>
      </c>
      <c r="K57" s="36">
        <v>27889.84</v>
      </c>
      <c r="L57" s="158">
        <v>1158.9000000000001</v>
      </c>
      <c r="M57" s="36">
        <v>12095.33</v>
      </c>
      <c r="N57" s="35">
        <v>39359.910000000003</v>
      </c>
      <c r="O57" s="36">
        <v>700</v>
      </c>
      <c r="P57" s="158">
        <v>700</v>
      </c>
      <c r="Q57" s="129">
        <v>157134.42000000001</v>
      </c>
      <c r="R57" s="35">
        <v>11689.26</v>
      </c>
      <c r="S57" s="34">
        <v>3850</v>
      </c>
      <c r="T57" s="59">
        <v>6095.49</v>
      </c>
      <c r="U57" s="36">
        <v>18977.740000000002</v>
      </c>
      <c r="V57" s="35">
        <v>43600</v>
      </c>
      <c r="W57" s="36">
        <v>122290.48</v>
      </c>
      <c r="X57" s="59">
        <v>219318.59</v>
      </c>
      <c r="Y57" s="36">
        <v>563250.57999999996</v>
      </c>
      <c r="Z57" s="35">
        <v>169460.48000000001</v>
      </c>
      <c r="AA57" s="36">
        <v>1163560.21</v>
      </c>
      <c r="AB57" s="35">
        <v>1128000.81</v>
      </c>
    </row>
    <row r="58" spans="1:28" s="467" customFormat="1" ht="27.95" customHeight="1">
      <c r="A58" s="14" t="s">
        <v>58</v>
      </c>
      <c r="B58" s="169">
        <f t="shared" ref="B58" si="36">SUM(B51:B57)</f>
        <v>130054789.84000003</v>
      </c>
      <c r="C58" s="164">
        <f t="shared" ref="C58:D58" si="37">SUM(C51:C57)</f>
        <v>144233333.74000001</v>
      </c>
      <c r="D58" s="167">
        <f t="shared" si="37"/>
        <v>147758392.44</v>
      </c>
      <c r="E58" s="164">
        <f t="shared" ref="E58" si="38">SUM(E51:E57)</f>
        <v>128273967.32000001</v>
      </c>
      <c r="F58" s="169">
        <f t="shared" ref="F58" si="39">SUM(F51:F57)</f>
        <v>127093745.48000002</v>
      </c>
      <c r="G58" s="164">
        <f t="shared" ref="G58" si="40">SUM(G51:G57)</f>
        <v>130101088.03</v>
      </c>
      <c r="H58" s="167">
        <f t="shared" ref="H58" si="41">SUM(H51:H57)</f>
        <v>133051795.54999998</v>
      </c>
      <c r="I58" s="164">
        <f t="shared" ref="I58:N58" si="42">SUM(I51:I57)</f>
        <v>107989232.22999999</v>
      </c>
      <c r="J58" s="169">
        <f t="shared" si="42"/>
        <v>121291690.33999999</v>
      </c>
      <c r="K58" s="164">
        <f t="shared" si="42"/>
        <v>125130644.97000001</v>
      </c>
      <c r="L58" s="167">
        <f t="shared" si="42"/>
        <v>141646821.52000001</v>
      </c>
      <c r="M58" s="164">
        <f t="shared" si="42"/>
        <v>108285480.82999998</v>
      </c>
      <c r="N58" s="169">
        <f t="shared" si="42"/>
        <v>102573548.19999997</v>
      </c>
      <c r="O58" s="164">
        <v>107372500.09</v>
      </c>
      <c r="P58" s="167">
        <v>130520280.95999999</v>
      </c>
      <c r="Q58" s="168">
        <v>103617585.62</v>
      </c>
      <c r="R58" s="169">
        <v>93807818.530000001</v>
      </c>
      <c r="S58" s="170">
        <v>101063600.08</v>
      </c>
      <c r="T58" s="171">
        <v>106186439.22</v>
      </c>
      <c r="U58" s="164">
        <v>75730157.260000005</v>
      </c>
      <c r="V58" s="169">
        <v>74830736.569999993</v>
      </c>
      <c r="W58" s="164">
        <v>85326363.680000007</v>
      </c>
      <c r="X58" s="171">
        <v>107391291.83</v>
      </c>
      <c r="Y58" s="164">
        <v>82216152.840000004</v>
      </c>
      <c r="Z58" s="169">
        <v>71980175.459999993</v>
      </c>
      <c r="AA58" s="164">
        <v>86652051.269999996</v>
      </c>
      <c r="AB58" s="169">
        <v>88792232.159999996</v>
      </c>
    </row>
    <row r="59" spans="1:28" s="467" customFormat="1" ht="27.95" customHeight="1">
      <c r="A59" s="14" t="s">
        <v>59</v>
      </c>
      <c r="B59" s="169">
        <f t="shared" ref="B59" si="43">SUM(B48,B58)</f>
        <v>179536019.97000003</v>
      </c>
      <c r="C59" s="164">
        <f t="shared" ref="C59:D59" si="44">SUM(C48,C58)</f>
        <v>191575512.56999999</v>
      </c>
      <c r="D59" s="167">
        <f t="shared" si="44"/>
        <v>193461114.56</v>
      </c>
      <c r="E59" s="164">
        <f t="shared" ref="E59" si="45">SUM(E48,E58)</f>
        <v>169659778.27000001</v>
      </c>
      <c r="F59" s="169">
        <f t="shared" ref="F59" si="46">SUM(F48,F58)</f>
        <v>167114771.81</v>
      </c>
      <c r="G59" s="164">
        <f t="shared" ref="G59" si="47">SUM(G48,G58)</f>
        <v>168354727.68000001</v>
      </c>
      <c r="H59" s="167">
        <f t="shared" ref="H59" si="48">SUM(H48,H58)</f>
        <v>172496189.11999997</v>
      </c>
      <c r="I59" s="164">
        <f t="shared" ref="I59:N59" si="49">SUM(I48,I58)</f>
        <v>150150154.74839997</v>
      </c>
      <c r="J59" s="169">
        <f t="shared" si="49"/>
        <v>164858557.58999997</v>
      </c>
      <c r="K59" s="164">
        <f t="shared" si="49"/>
        <v>173636311.21000001</v>
      </c>
      <c r="L59" s="167">
        <f t="shared" si="49"/>
        <v>186222285.76000002</v>
      </c>
      <c r="M59" s="164">
        <f t="shared" si="49"/>
        <v>154268033.13</v>
      </c>
      <c r="N59" s="169">
        <f t="shared" si="49"/>
        <v>154989294.85999998</v>
      </c>
      <c r="O59" s="164">
        <v>155892252.93000001</v>
      </c>
      <c r="P59" s="167">
        <v>178376609.58000001</v>
      </c>
      <c r="Q59" s="168">
        <v>151156869.62</v>
      </c>
      <c r="R59" s="169">
        <v>144719061.09</v>
      </c>
      <c r="S59" s="170">
        <v>150295512.16999999</v>
      </c>
      <c r="T59" s="171">
        <v>158618951.88</v>
      </c>
      <c r="U59" s="164">
        <v>122497566.42</v>
      </c>
      <c r="V59" s="169">
        <v>105588755.31999999</v>
      </c>
      <c r="W59" s="164">
        <v>115356244.02</v>
      </c>
      <c r="X59" s="171">
        <v>139428096.15000001</v>
      </c>
      <c r="Y59" s="164">
        <v>113040483.81</v>
      </c>
      <c r="Z59" s="169">
        <v>106548147.31</v>
      </c>
      <c r="AA59" s="164">
        <v>121374144.62</v>
      </c>
      <c r="AB59" s="169">
        <v>127366847.17</v>
      </c>
    </row>
    <row r="60" spans="1:28" ht="27.95" customHeight="1">
      <c r="A60" s="15" t="s">
        <v>60</v>
      </c>
      <c r="B60" s="44">
        <f t="shared" ref="B60" si="50">SUM(B40,B59)</f>
        <v>393399096.81000006</v>
      </c>
      <c r="C60" s="165">
        <f t="shared" ref="C60:D60" si="51">SUM(C40,C59)</f>
        <v>408414284.8780998</v>
      </c>
      <c r="D60" s="161">
        <f t="shared" si="51"/>
        <v>411592033.9396615</v>
      </c>
      <c r="E60" s="165">
        <f t="shared" ref="E60" si="52">SUM(E40,E59)</f>
        <v>381565406.46917558</v>
      </c>
      <c r="F60" s="44">
        <f t="shared" ref="F60" si="53">SUM(F40,F59)</f>
        <v>382028593.51111114</v>
      </c>
      <c r="G60" s="165">
        <f t="shared" ref="G60" si="54">SUM(G40,G59)</f>
        <v>383189842.0968076</v>
      </c>
      <c r="H60" s="161">
        <f t="shared" ref="H60" si="55">SUM(H40,H59)</f>
        <v>386610914.87514675</v>
      </c>
      <c r="I60" s="165">
        <f t="shared" ref="I60:N60" si="56">SUM(I40,I59)</f>
        <v>360910954.96176863</v>
      </c>
      <c r="J60" s="44">
        <f t="shared" si="56"/>
        <v>370479304.82370698</v>
      </c>
      <c r="K60" s="165">
        <f t="shared" si="56"/>
        <v>382531688.41999996</v>
      </c>
      <c r="L60" s="161">
        <f t="shared" si="56"/>
        <v>389116830.48000002</v>
      </c>
      <c r="M60" s="45">
        <f t="shared" si="56"/>
        <v>354877392.49000001</v>
      </c>
      <c r="N60" s="44">
        <f t="shared" si="56"/>
        <v>357434193.40999997</v>
      </c>
      <c r="O60" s="165">
        <v>364805086.13</v>
      </c>
      <c r="P60" s="161">
        <v>380992424.24000001</v>
      </c>
      <c r="Q60" s="131">
        <v>351151367.77999997</v>
      </c>
      <c r="R60" s="44">
        <v>343204281.51999998</v>
      </c>
      <c r="S60" s="43">
        <v>349891429.37</v>
      </c>
      <c r="T60" s="89">
        <v>349282331.81</v>
      </c>
      <c r="U60" s="45">
        <v>307448754.75</v>
      </c>
      <c r="V60" s="44">
        <v>293979653.92000002</v>
      </c>
      <c r="W60" s="45">
        <v>302888485.00999999</v>
      </c>
      <c r="X60" s="89">
        <v>321698876.67000002</v>
      </c>
      <c r="Y60" s="45">
        <v>292167224.08999997</v>
      </c>
      <c r="Z60" s="44">
        <v>283247704.67000002</v>
      </c>
      <c r="AA60" s="45">
        <v>299304796.69999999</v>
      </c>
      <c r="AB60" s="44">
        <v>302780126.38</v>
      </c>
    </row>
    <row r="61" spans="1:28" ht="24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210"/>
      <c r="M61" s="166"/>
    </row>
    <row r="62" spans="1:28" ht="21">
      <c r="C62" s="240"/>
      <c r="F62" s="135"/>
      <c r="H62" s="240"/>
      <c r="J62" s="135"/>
      <c r="K62" s="210"/>
      <c r="M62" s="166"/>
    </row>
    <row r="63" spans="1:28">
      <c r="B63" s="240"/>
      <c r="D63" s="240"/>
      <c r="G63" s="240"/>
      <c r="M63" s="166"/>
    </row>
  </sheetData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3"/>
  <sheetViews>
    <sheetView showGridLines="0" zoomScale="60" zoomScaleNormal="60" zoomScaleSheetLayoutView="30" zoomScalePageLayoutView="80" workbookViewId="0">
      <pane xSplit="1" topLeftCell="B1" activePane="topRight" state="frozen"/>
      <selection pane="topRight"/>
    </sheetView>
  </sheetViews>
  <sheetFormatPr defaultRowHeight="18.75"/>
  <cols>
    <col min="1" max="1" width="109.28515625" customWidth="1"/>
    <col min="2" max="10" width="21.7109375" customWidth="1"/>
    <col min="11" max="11" width="21.7109375" style="13" customWidth="1"/>
    <col min="12" max="12" width="21.7109375" customWidth="1"/>
    <col min="13" max="13" width="21.7109375" style="13" customWidth="1"/>
    <col min="14" max="28" width="21.7109375" customWidth="1"/>
  </cols>
  <sheetData>
    <row r="1" spans="1:28" ht="50.1" customHeight="1">
      <c r="A1" s="320" t="s">
        <v>149</v>
      </c>
      <c r="B1" s="447"/>
      <c r="C1" s="443"/>
      <c r="D1" s="320"/>
      <c r="E1" s="245"/>
      <c r="F1" s="244"/>
      <c r="G1" s="241"/>
      <c r="H1" s="235"/>
      <c r="I1" s="229"/>
      <c r="J1" s="208"/>
      <c r="K1" s="162"/>
      <c r="L1" s="157"/>
      <c r="M1" s="162"/>
      <c r="N1" s="13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13"/>
      <c r="AA1" s="113"/>
      <c r="AB1" s="113"/>
    </row>
    <row r="2" spans="1:28" ht="24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163"/>
      <c r="L2" s="6"/>
      <c r="M2" s="163"/>
      <c r="N2" s="6"/>
    </row>
    <row r="3" spans="1:28" ht="27.95" customHeight="1">
      <c r="A3" s="322" t="s">
        <v>145</v>
      </c>
      <c r="B3" s="322"/>
      <c r="C3" s="322"/>
      <c r="D3" s="322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</row>
    <row r="4" spans="1:28" ht="27.95" customHeight="1">
      <c r="A4" s="16"/>
      <c r="B4" s="446"/>
      <c r="C4" s="16"/>
      <c r="D4" s="446"/>
      <c r="E4" s="446"/>
      <c r="F4" s="16"/>
      <c r="G4" s="16"/>
      <c r="H4" s="16"/>
      <c r="I4" s="16"/>
      <c r="J4" s="16"/>
      <c r="L4" s="16"/>
      <c r="N4" s="46"/>
      <c r="O4" s="46"/>
      <c r="P4" s="46"/>
      <c r="Q4" s="46"/>
      <c r="R4" s="46"/>
      <c r="S4" s="46"/>
      <c r="T4" s="46"/>
      <c r="U4" s="46"/>
      <c r="V4" s="46"/>
      <c r="W4" s="46"/>
      <c r="X4" s="17"/>
      <c r="Y4" s="17"/>
      <c r="Z4" s="17"/>
      <c r="AA4" s="17"/>
      <c r="AB4" s="17"/>
    </row>
    <row r="5" spans="1:28" ht="27.95" customHeight="1">
      <c r="A5" s="18"/>
      <c r="B5" s="48" t="s">
        <v>215</v>
      </c>
      <c r="C5" s="47" t="s">
        <v>212</v>
      </c>
      <c r="D5" s="49" t="s">
        <v>211</v>
      </c>
      <c r="E5" s="47" t="s">
        <v>210</v>
      </c>
      <c r="F5" s="48" t="s">
        <v>207</v>
      </c>
      <c r="G5" s="47" t="s">
        <v>201</v>
      </c>
      <c r="H5" s="49" t="s">
        <v>199</v>
      </c>
      <c r="I5" s="47" t="s">
        <v>205</v>
      </c>
      <c r="J5" s="48" t="s">
        <v>195</v>
      </c>
      <c r="K5" s="47" t="s">
        <v>193</v>
      </c>
      <c r="L5" s="49" t="s">
        <v>191</v>
      </c>
      <c r="M5" s="29" t="s">
        <v>189</v>
      </c>
      <c r="N5" s="48" t="s">
        <v>187</v>
      </c>
      <c r="O5" s="47" t="s">
        <v>183</v>
      </c>
      <c r="P5" s="49" t="s">
        <v>163</v>
      </c>
      <c r="Q5" s="47" t="s">
        <v>117</v>
      </c>
      <c r="R5" s="48" t="s">
        <v>14</v>
      </c>
      <c r="S5" s="47" t="s">
        <v>15</v>
      </c>
      <c r="T5" s="49" t="s">
        <v>16</v>
      </c>
      <c r="U5" s="47" t="s">
        <v>17</v>
      </c>
      <c r="V5" s="48" t="s">
        <v>18</v>
      </c>
      <c r="W5" s="47" t="s">
        <v>19</v>
      </c>
      <c r="X5" s="49" t="s">
        <v>20</v>
      </c>
      <c r="Y5" s="47" t="s">
        <v>21</v>
      </c>
      <c r="Z5" s="22" t="s">
        <v>22</v>
      </c>
      <c r="AA5" s="29" t="s">
        <v>23</v>
      </c>
      <c r="AB5" s="22" t="s">
        <v>24</v>
      </c>
    </row>
    <row r="6" spans="1:28" ht="27.95" customHeight="1">
      <c r="A6" s="19" t="s">
        <v>0</v>
      </c>
      <c r="B6" s="51">
        <v>172381977.41999999</v>
      </c>
      <c r="C6" s="211">
        <v>130721907.97000003</v>
      </c>
      <c r="D6" s="52">
        <v>70092410.280000001</v>
      </c>
      <c r="E6" s="211">
        <v>230801459.26999998</v>
      </c>
      <c r="F6" s="51">
        <v>171083494.97</v>
      </c>
      <c r="G6" s="211">
        <v>122040460.5</v>
      </c>
      <c r="H6" s="52">
        <v>58950474.310000017</v>
      </c>
      <c r="I6" s="211">
        <v>273976695.73000002</v>
      </c>
      <c r="J6" s="51">
        <v>188101083.21999997</v>
      </c>
      <c r="K6" s="211">
        <v>145402173.28999999</v>
      </c>
      <c r="L6" s="52">
        <v>69435907.829999998</v>
      </c>
      <c r="M6" s="211">
        <v>240195613.97</v>
      </c>
      <c r="N6" s="51">
        <v>181844761.28</v>
      </c>
      <c r="O6" s="211">
        <v>139189268.88</v>
      </c>
      <c r="P6" s="52">
        <v>68176646.359999999</v>
      </c>
      <c r="Q6" s="133">
        <v>236132659.59</v>
      </c>
      <c r="R6" s="51">
        <v>189746508.30000001</v>
      </c>
      <c r="S6" s="50">
        <v>141115681.33000001</v>
      </c>
      <c r="T6" s="52">
        <v>70254992.079999998</v>
      </c>
      <c r="U6" s="50">
        <v>210800526.28</v>
      </c>
      <c r="V6" s="51">
        <v>166442197.66</v>
      </c>
      <c r="W6" s="50">
        <v>128555990.25</v>
      </c>
      <c r="X6" s="52">
        <v>59222835.649999999</v>
      </c>
      <c r="Y6" s="50">
        <v>190088429.09999999</v>
      </c>
      <c r="Z6" s="51">
        <v>150801072.02000001</v>
      </c>
      <c r="AA6" s="50">
        <v>115834433.11</v>
      </c>
      <c r="AB6" s="51">
        <v>54813978.990000002</v>
      </c>
    </row>
    <row r="7" spans="1:28" ht="27.95" customHeight="1">
      <c r="A7" s="11" t="s">
        <v>64</v>
      </c>
      <c r="B7" s="28">
        <v>-138638745.94</v>
      </c>
      <c r="C7" s="36">
        <v>-102894418.72107585</v>
      </c>
      <c r="D7" s="54">
        <v>-51767006.809514217</v>
      </c>
      <c r="E7" s="36">
        <v>-180377427.02212432</v>
      </c>
      <c r="F7" s="28">
        <v>-132012413.23018889</v>
      </c>
      <c r="G7" s="36">
        <v>-95668491.314492375</v>
      </c>
      <c r="H7" s="54">
        <v>-45530448.602953292</v>
      </c>
      <c r="I7" s="36">
        <v>-211957917.67687988</v>
      </c>
      <c r="J7" s="28">
        <v>-151931048.68244162</v>
      </c>
      <c r="K7" s="36">
        <v>-113775016.84</v>
      </c>
      <c r="L7" s="54">
        <v>-55570811.829999998</v>
      </c>
      <c r="M7" s="36">
        <v>-204745685.84</v>
      </c>
      <c r="N7" s="28">
        <v>-154288568.33000001</v>
      </c>
      <c r="O7" s="36">
        <v>-113239632.48999999</v>
      </c>
      <c r="P7" s="54">
        <v>-56163373.600000001</v>
      </c>
      <c r="Q7" s="132">
        <v>-186312592.68000001</v>
      </c>
      <c r="R7" s="28">
        <v>-145869718.24000001</v>
      </c>
      <c r="S7" s="53">
        <v>-106025493.31</v>
      </c>
      <c r="T7" s="54">
        <v>-55916183.399999999</v>
      </c>
      <c r="U7" s="53">
        <v>-170410855.63</v>
      </c>
      <c r="V7" s="28">
        <v>-130427359.8</v>
      </c>
      <c r="W7" s="53">
        <v>-98693777.319999993</v>
      </c>
      <c r="X7" s="54">
        <v>-44636671.740000002</v>
      </c>
      <c r="Y7" s="53">
        <v>-150553069.5</v>
      </c>
      <c r="Z7" s="28">
        <v>-119919675.23999999</v>
      </c>
      <c r="AA7" s="53">
        <v>-90344812.459999993</v>
      </c>
      <c r="AB7" s="28">
        <v>-42188508.210000001</v>
      </c>
    </row>
    <row r="8" spans="1:28" ht="27.95" customHeight="1">
      <c r="A8" s="10" t="s">
        <v>3</v>
      </c>
      <c r="B8" s="124">
        <f>SUM(B6:B7)</f>
        <v>33743231.479999989</v>
      </c>
      <c r="C8" s="39">
        <f>SUM(C6:C7)</f>
        <v>27827489.248924181</v>
      </c>
      <c r="D8" s="57">
        <f>SUM(D6:D7)</f>
        <v>18325403.470485784</v>
      </c>
      <c r="E8" s="39">
        <f>E6+E7</f>
        <v>50424032.247875661</v>
      </c>
      <c r="F8" s="56">
        <f>SUM(F6:F7)</f>
        <v>39071081.739811108</v>
      </c>
      <c r="G8" s="39">
        <f>G6+G7</f>
        <v>26371969.185507625</v>
      </c>
      <c r="H8" s="57">
        <f>SUM(H6:H7)</f>
        <v>13420025.707046725</v>
      </c>
      <c r="I8" s="39">
        <f>I6+I7</f>
        <v>62018778.053120136</v>
      </c>
      <c r="J8" s="56">
        <f>SUM(J6:J7)</f>
        <v>36170034.537558347</v>
      </c>
      <c r="K8" s="39">
        <f>K6+K7</f>
        <v>31627156.449999988</v>
      </c>
      <c r="L8" s="57">
        <f>SUM(L6:L7)</f>
        <v>13865096</v>
      </c>
      <c r="M8" s="39">
        <f>M6+M7</f>
        <v>35449928.129999995</v>
      </c>
      <c r="N8" s="56">
        <f>SUM(N6:N7)</f>
        <v>27556192.949999988</v>
      </c>
      <c r="O8" s="39">
        <f>O6+O7</f>
        <v>25949636.390000001</v>
      </c>
      <c r="P8" s="57">
        <v>12013272.76</v>
      </c>
      <c r="Q8" s="134">
        <v>49820066.909999996</v>
      </c>
      <c r="R8" s="56">
        <v>43876790.060000002</v>
      </c>
      <c r="S8" s="55">
        <v>35090188.020000003</v>
      </c>
      <c r="T8" s="57">
        <v>14338808.68</v>
      </c>
      <c r="U8" s="55">
        <v>40389670.649999999</v>
      </c>
      <c r="V8" s="56">
        <v>36014837.859999999</v>
      </c>
      <c r="W8" s="55">
        <v>29862212.93</v>
      </c>
      <c r="X8" s="57">
        <v>14586163.91</v>
      </c>
      <c r="Y8" s="55">
        <v>39535359.600000001</v>
      </c>
      <c r="Z8" s="56">
        <v>30881396.780000001</v>
      </c>
      <c r="AA8" s="55">
        <v>25489620.649999999</v>
      </c>
      <c r="AB8" s="56">
        <v>12625470.779999999</v>
      </c>
    </row>
    <row r="9" spans="1:28" ht="27.95" customHeight="1">
      <c r="A9" s="11" t="s">
        <v>65</v>
      </c>
      <c r="B9" s="456">
        <v>-10157652.050000001</v>
      </c>
      <c r="C9" s="36">
        <v>-7019953.0600000005</v>
      </c>
      <c r="D9" s="54">
        <v>-3192833.27</v>
      </c>
      <c r="E9" s="36">
        <v>-13914191.880000001</v>
      </c>
      <c r="F9" s="28">
        <v>-10332496.479999999</v>
      </c>
      <c r="G9" s="36">
        <v>-6730588.4299999997</v>
      </c>
      <c r="H9" s="54">
        <v>-2816538.66</v>
      </c>
      <c r="I9" s="36">
        <v>-11815346.200000001</v>
      </c>
      <c r="J9" s="28">
        <v>-8142949.7700000005</v>
      </c>
      <c r="K9" s="36">
        <v>-5330320.28</v>
      </c>
      <c r="L9" s="54">
        <v>-2069823.14</v>
      </c>
      <c r="M9" s="36">
        <v>-11200475.699999999</v>
      </c>
      <c r="N9" s="28">
        <v>-8224969.0700000003</v>
      </c>
      <c r="O9" s="36">
        <v>-5947331.8899999997</v>
      </c>
      <c r="P9" s="54">
        <v>-3049663.87</v>
      </c>
      <c r="Q9" s="132">
        <v>-10814489.560000001</v>
      </c>
      <c r="R9" s="28">
        <v>-8249852.0199999996</v>
      </c>
      <c r="S9" s="53">
        <v>-5361127.33</v>
      </c>
      <c r="T9" s="54">
        <v>-2396881.14</v>
      </c>
      <c r="U9" s="53">
        <v>-9863952.1899999995</v>
      </c>
      <c r="V9" s="28">
        <v>-7265438.8899999997</v>
      </c>
      <c r="W9" s="53">
        <v>-4933128.55</v>
      </c>
      <c r="X9" s="54">
        <v>-2194862.0099999998</v>
      </c>
      <c r="Y9" s="53">
        <v>-8581504.6199999992</v>
      </c>
      <c r="Z9" s="28">
        <v>-6611219.2400000002</v>
      </c>
      <c r="AA9" s="53">
        <v>-4782187.49</v>
      </c>
      <c r="AB9" s="28">
        <v>-2313776.4</v>
      </c>
    </row>
    <row r="10" spans="1:28" ht="27.95" customHeight="1">
      <c r="A10" s="11" t="s">
        <v>66</v>
      </c>
      <c r="B10" s="28">
        <v>-17890480.850000001</v>
      </c>
      <c r="C10" s="36">
        <v>-12166896.269999998</v>
      </c>
      <c r="D10" s="54">
        <v>-6303549.2200000016</v>
      </c>
      <c r="E10" s="36">
        <v>-27799213.000000007</v>
      </c>
      <c r="F10" s="28">
        <v>-19547041.32</v>
      </c>
      <c r="G10" s="36">
        <v>-12994087.74</v>
      </c>
      <c r="H10" s="54">
        <v>-6349617.3700000001</v>
      </c>
      <c r="I10" s="36">
        <v>-27951632.519999992</v>
      </c>
      <c r="J10" s="28">
        <v>-18378308.110000003</v>
      </c>
      <c r="K10" s="36">
        <v>-12393134.59</v>
      </c>
      <c r="L10" s="54">
        <v>-6313817.9299999997</v>
      </c>
      <c r="M10" s="36">
        <v>-25420374.600000001</v>
      </c>
      <c r="N10" s="28">
        <v>-18819335.91</v>
      </c>
      <c r="O10" s="36">
        <v>-12352593.82</v>
      </c>
      <c r="P10" s="54">
        <v>-5755687.6399999997</v>
      </c>
      <c r="Q10" s="132">
        <v>-24058518.670000002</v>
      </c>
      <c r="R10" s="28">
        <v>-17489627.359999999</v>
      </c>
      <c r="S10" s="53">
        <v>-11567151.220000001</v>
      </c>
      <c r="T10" s="54">
        <v>-5574062.71</v>
      </c>
      <c r="U10" s="53">
        <v>-21669962.870000001</v>
      </c>
      <c r="V10" s="28">
        <v>-16170427.23</v>
      </c>
      <c r="W10" s="53">
        <v>-11051874.15</v>
      </c>
      <c r="X10" s="54">
        <v>-5445280.8099999996</v>
      </c>
      <c r="Y10" s="53">
        <v>-23108495.719999999</v>
      </c>
      <c r="Z10" s="28">
        <v>-17328421.870000001</v>
      </c>
      <c r="AA10" s="53">
        <v>-12288310.949999999</v>
      </c>
      <c r="AB10" s="28">
        <v>-6048359.1399999997</v>
      </c>
    </row>
    <row r="11" spans="1:28" ht="27.95" customHeight="1">
      <c r="A11" s="10" t="s">
        <v>4</v>
      </c>
      <c r="B11" s="124">
        <f>SUM(B8:B10)</f>
        <v>5695098.579999987</v>
      </c>
      <c r="C11" s="39">
        <f>SUM(C8:C10)</f>
        <v>8640639.9189241808</v>
      </c>
      <c r="D11" s="57">
        <f>SUM(D8:D10)</f>
        <v>8829020.980485782</v>
      </c>
      <c r="E11" s="39">
        <f>E8+E9+E10</f>
        <v>8710627.3678756505</v>
      </c>
      <c r="F11" s="56">
        <f>SUM(F8:F10)</f>
        <v>9191543.9398111105</v>
      </c>
      <c r="G11" s="39">
        <f>G8+G9+G10</f>
        <v>6647293.0155076254</v>
      </c>
      <c r="H11" s="57">
        <f>SUM(H8:H10)</f>
        <v>4253869.6770467246</v>
      </c>
      <c r="I11" s="39">
        <f>I8+I9+I10</f>
        <v>22251799.333120141</v>
      </c>
      <c r="J11" s="56">
        <f>SUM(J8:J10)</f>
        <v>9648776.6575583443</v>
      </c>
      <c r="K11" s="39">
        <f>K8+K9+K10</f>
        <v>13903701.579999987</v>
      </c>
      <c r="L11" s="57">
        <f>SUM(L8:L10)</f>
        <v>5481454.9299999997</v>
      </c>
      <c r="M11" s="39">
        <f>M8+M9+M10</f>
        <v>-1170922.1700000055</v>
      </c>
      <c r="N11" s="56">
        <f>SUM(N8:N10)</f>
        <v>511887.96999998763</v>
      </c>
      <c r="O11" s="39">
        <f>O8+O9+O10</f>
        <v>7649710.6799999997</v>
      </c>
      <c r="P11" s="57">
        <v>3207921.25</v>
      </c>
      <c r="Q11" s="134">
        <v>14947058.68</v>
      </c>
      <c r="R11" s="56">
        <v>18137310.68</v>
      </c>
      <c r="S11" s="55">
        <v>18161909.469999999</v>
      </c>
      <c r="T11" s="57">
        <v>6367864.8300000001</v>
      </c>
      <c r="U11" s="55">
        <v>8855755.5899999999</v>
      </c>
      <c r="V11" s="56">
        <v>12578971.74</v>
      </c>
      <c r="W11" s="55">
        <v>13877210.23</v>
      </c>
      <c r="X11" s="57">
        <v>6946021.0899999999</v>
      </c>
      <c r="Y11" s="55">
        <v>7845359.2599999998</v>
      </c>
      <c r="Z11" s="56">
        <v>6941755.6699999999</v>
      </c>
      <c r="AA11" s="55">
        <v>8419122.2100000009</v>
      </c>
      <c r="AB11" s="56">
        <v>4263335.24</v>
      </c>
    </row>
    <row r="12" spans="1:28" ht="27.95" customHeight="1">
      <c r="A12" s="11" t="s">
        <v>67</v>
      </c>
      <c r="B12" s="456">
        <v>2494833.92</v>
      </c>
      <c r="C12" s="36">
        <v>2436315.5800000075</v>
      </c>
      <c r="D12" s="54">
        <v>606486.99000000732</v>
      </c>
      <c r="E12" s="36">
        <v>4364197.5999999996</v>
      </c>
      <c r="F12" s="28">
        <v>1387233.4100000064</v>
      </c>
      <c r="G12" s="36">
        <v>1012856.990000006</v>
      </c>
      <c r="H12" s="54">
        <v>397557.06000000017</v>
      </c>
      <c r="I12" s="36">
        <v>4375244.66</v>
      </c>
      <c r="J12" s="28">
        <v>3367691.7499999995</v>
      </c>
      <c r="K12" s="36">
        <v>1934730.44</v>
      </c>
      <c r="L12" s="54">
        <v>422728.59</v>
      </c>
      <c r="M12" s="36">
        <v>10482354.35</v>
      </c>
      <c r="N12" s="28">
        <v>8684166.8499999996</v>
      </c>
      <c r="O12" s="36">
        <v>7700151.8200000003</v>
      </c>
      <c r="P12" s="54">
        <v>866448.08</v>
      </c>
      <c r="Q12" s="132">
        <v>6599054.6200000001</v>
      </c>
      <c r="R12" s="28">
        <v>2488638.5299999998</v>
      </c>
      <c r="S12" s="53">
        <v>1824503.27</v>
      </c>
      <c r="T12" s="54">
        <v>854303.49</v>
      </c>
      <c r="U12" s="53">
        <v>3015398.39</v>
      </c>
      <c r="V12" s="28">
        <v>2420995.4</v>
      </c>
      <c r="W12" s="53">
        <v>2021254.76</v>
      </c>
      <c r="X12" s="54">
        <v>211751.07</v>
      </c>
      <c r="Y12" s="53">
        <v>6143541.1699999999</v>
      </c>
      <c r="Z12" s="28">
        <v>3417249.3</v>
      </c>
      <c r="AA12" s="53">
        <v>2699951.37</v>
      </c>
      <c r="AB12" s="28">
        <v>971290.04</v>
      </c>
    </row>
    <row r="13" spans="1:28" ht="27.95" customHeight="1">
      <c r="A13" s="11" t="s">
        <v>68</v>
      </c>
      <c r="B13" s="28">
        <v>-1882648.01</v>
      </c>
      <c r="C13" s="36">
        <v>-1420724.86</v>
      </c>
      <c r="D13" s="54">
        <v>-299580.83000000007</v>
      </c>
      <c r="E13" s="36">
        <v>-7497632.6099999994</v>
      </c>
      <c r="F13" s="28">
        <v>-3394024.6900000004</v>
      </c>
      <c r="G13" s="36">
        <v>-3045647.870000001</v>
      </c>
      <c r="H13" s="54">
        <v>-833487.07</v>
      </c>
      <c r="I13" s="36">
        <v>-7556796.9900000002</v>
      </c>
      <c r="J13" s="28">
        <v>-1753314.92</v>
      </c>
      <c r="K13" s="36">
        <v>-1075700.3600000001</v>
      </c>
      <c r="L13" s="54">
        <v>-260622.45</v>
      </c>
      <c r="M13" s="36">
        <v>-3174511.1</v>
      </c>
      <c r="N13" s="28">
        <v>-2245780.5499999998</v>
      </c>
      <c r="O13" s="36">
        <v>-950268.11</v>
      </c>
      <c r="P13" s="54">
        <v>-1061632.3400000001</v>
      </c>
      <c r="Q13" s="132">
        <v>-4701914.0999999996</v>
      </c>
      <c r="R13" s="28">
        <v>-2260092.02</v>
      </c>
      <c r="S13" s="53">
        <v>-534729.87</v>
      </c>
      <c r="T13" s="54">
        <v>-149157.97</v>
      </c>
      <c r="U13" s="53">
        <v>-3233906.08</v>
      </c>
      <c r="V13" s="28">
        <v>-1818880.25</v>
      </c>
      <c r="W13" s="53">
        <v>-2075904.92</v>
      </c>
      <c r="X13" s="54">
        <v>-1315461.43</v>
      </c>
      <c r="Y13" s="53">
        <v>-3201311.34</v>
      </c>
      <c r="Z13" s="28">
        <v>-1259262.99</v>
      </c>
      <c r="AA13" s="53">
        <v>-1247467.6200000001</v>
      </c>
      <c r="AB13" s="28">
        <v>-74553.039999999994</v>
      </c>
    </row>
    <row r="14" spans="1:28" ht="27.95" customHeight="1">
      <c r="A14" s="10" t="s">
        <v>69</v>
      </c>
      <c r="B14" s="124">
        <f>SUM(B11:B13)</f>
        <v>6307284.4899999872</v>
      </c>
      <c r="C14" s="39">
        <f>SUM(C11:C13)</f>
        <v>9656230.6389241889</v>
      </c>
      <c r="D14" s="57">
        <f>SUM(D11:D13)</f>
        <v>9135927.1404857896</v>
      </c>
      <c r="E14" s="39">
        <f>E11+E12+E13</f>
        <v>5577192.3578756507</v>
      </c>
      <c r="F14" s="56">
        <f>SUM(F11:F13)</f>
        <v>7184752.6598111158</v>
      </c>
      <c r="G14" s="39">
        <f>G11+G12+G13</f>
        <v>4614502.1355076302</v>
      </c>
      <c r="H14" s="57">
        <f>SUM(H11:H13)</f>
        <v>3817939.6670467253</v>
      </c>
      <c r="I14" s="39">
        <f>I11+I12+I13</f>
        <v>19070247.003120139</v>
      </c>
      <c r="J14" s="56">
        <f>SUM(J11:J13)</f>
        <v>11263153.487558344</v>
      </c>
      <c r="K14" s="39">
        <f>K11+K12+K13</f>
        <v>14762731.659999987</v>
      </c>
      <c r="L14" s="57">
        <f>SUM(L11:L13)</f>
        <v>5643561.0699999994</v>
      </c>
      <c r="M14" s="39">
        <f>M11+M12+M13</f>
        <v>6136921.0799999945</v>
      </c>
      <c r="N14" s="56">
        <f>SUM(N11:N13)</f>
        <v>6950274.2699999874</v>
      </c>
      <c r="O14" s="39">
        <f>O11+O12+O13</f>
        <v>14399594.390000001</v>
      </c>
      <c r="P14" s="57">
        <v>3012736.99</v>
      </c>
      <c r="Q14" s="134">
        <v>16844199.199999999</v>
      </c>
      <c r="R14" s="56">
        <v>18365857.190000001</v>
      </c>
      <c r="S14" s="55">
        <v>19451682.870000001</v>
      </c>
      <c r="T14" s="57">
        <v>7073010.3499999996</v>
      </c>
      <c r="U14" s="55">
        <v>8637247.9000000004</v>
      </c>
      <c r="V14" s="56">
        <v>13181086.890000001</v>
      </c>
      <c r="W14" s="55">
        <v>13822560.07</v>
      </c>
      <c r="X14" s="57">
        <v>5842310.7300000004</v>
      </c>
      <c r="Y14" s="55">
        <v>10787589.09</v>
      </c>
      <c r="Z14" s="56">
        <v>9099741.9800000004</v>
      </c>
      <c r="AA14" s="55">
        <v>9871605.9600000009</v>
      </c>
      <c r="AB14" s="56">
        <v>5160072.24</v>
      </c>
    </row>
    <row r="15" spans="1:28" ht="27.95" customHeight="1">
      <c r="A15" s="11" t="s">
        <v>70</v>
      </c>
      <c r="B15" s="456">
        <v>273076.92</v>
      </c>
      <c r="C15" s="36">
        <v>108143.46000000002</v>
      </c>
      <c r="D15" s="54">
        <v>4731.6299999999992</v>
      </c>
      <c r="E15" s="36">
        <v>2529426.8400000008</v>
      </c>
      <c r="F15" s="28">
        <v>1626015.0999999999</v>
      </c>
      <c r="G15" s="36">
        <v>1722711.6699999997</v>
      </c>
      <c r="H15" s="54">
        <v>828272.50000000012</v>
      </c>
      <c r="I15" s="36">
        <v>626079.55000000028</v>
      </c>
      <c r="J15" s="28">
        <v>399895.31000000046</v>
      </c>
      <c r="K15" s="36">
        <v>180455.65</v>
      </c>
      <c r="L15" s="54">
        <v>130720.86</v>
      </c>
      <c r="M15" s="36">
        <v>1054386.6000000001</v>
      </c>
      <c r="N15" s="28">
        <v>1229806.79</v>
      </c>
      <c r="O15" s="36">
        <v>1154020.77</v>
      </c>
      <c r="P15" s="54">
        <v>906616.85</v>
      </c>
      <c r="Q15" s="132">
        <v>1279986.42</v>
      </c>
      <c r="R15" s="28">
        <v>908700.65</v>
      </c>
      <c r="S15" s="53">
        <v>321402.57</v>
      </c>
      <c r="T15" s="54">
        <v>363935.74</v>
      </c>
      <c r="U15" s="53">
        <v>928435.14</v>
      </c>
      <c r="V15" s="28">
        <v>573879.81999999995</v>
      </c>
      <c r="W15" s="53">
        <v>277427.84999999998</v>
      </c>
      <c r="X15" s="54">
        <v>153740.26999999999</v>
      </c>
      <c r="Y15" s="53">
        <v>411878.49</v>
      </c>
      <c r="Z15" s="28">
        <v>483971.89</v>
      </c>
      <c r="AA15" s="53">
        <v>258633.02</v>
      </c>
      <c r="AB15" s="28">
        <v>267129</v>
      </c>
    </row>
    <row r="16" spans="1:28" ht="27.95" customHeight="1">
      <c r="A16" s="11" t="s">
        <v>71</v>
      </c>
      <c r="B16" s="28">
        <v>-3471703.01</v>
      </c>
      <c r="C16" s="36">
        <v>-2843543.8199999994</v>
      </c>
      <c r="D16" s="54">
        <v>-1283152.67</v>
      </c>
      <c r="E16" s="36">
        <v>-3617758.8599999994</v>
      </c>
      <c r="F16" s="28">
        <v>-2538289.6010000003</v>
      </c>
      <c r="G16" s="36">
        <v>-1631939.3000000003</v>
      </c>
      <c r="H16" s="54">
        <v>-721429.62000000011</v>
      </c>
      <c r="I16" s="36">
        <v>-4834284.62</v>
      </c>
      <c r="J16" s="28">
        <v>-3233242.46</v>
      </c>
      <c r="K16" s="36">
        <v>-2948947.1</v>
      </c>
      <c r="L16" s="54">
        <v>-855675.66</v>
      </c>
      <c r="M16" s="36">
        <v>-3477586.88</v>
      </c>
      <c r="N16" s="28">
        <v>-2556325.58</v>
      </c>
      <c r="O16" s="36">
        <v>-1794605.35</v>
      </c>
      <c r="P16" s="54">
        <v>-877561.37</v>
      </c>
      <c r="Q16" s="132">
        <v>-4227635.37</v>
      </c>
      <c r="R16" s="28">
        <v>-3029361</v>
      </c>
      <c r="S16" s="53">
        <v>-2070352.53</v>
      </c>
      <c r="T16" s="54">
        <v>-876604.81</v>
      </c>
      <c r="U16" s="53">
        <v>-3861831.39</v>
      </c>
      <c r="V16" s="28">
        <v>-3126458.9</v>
      </c>
      <c r="W16" s="53">
        <v>-2277644.75</v>
      </c>
      <c r="X16" s="54">
        <v>-949329.57</v>
      </c>
      <c r="Y16" s="53">
        <v>-5126601.71</v>
      </c>
      <c r="Z16" s="28">
        <v>-3855825.1</v>
      </c>
      <c r="AA16" s="53">
        <v>-2647260.59</v>
      </c>
      <c r="AB16" s="28">
        <v>-1231140.68</v>
      </c>
    </row>
    <row r="17" spans="1:28" ht="27.95" customHeight="1">
      <c r="A17" s="20" t="s">
        <v>125</v>
      </c>
      <c r="B17" s="28">
        <v>-298632.31</v>
      </c>
      <c r="C17" s="174">
        <v>-36198.76</v>
      </c>
      <c r="D17" s="54">
        <v>-30864.7</v>
      </c>
      <c r="E17" s="174">
        <v>-116906.03</v>
      </c>
      <c r="F17" s="28">
        <v>-105843.78</v>
      </c>
      <c r="G17" s="174">
        <v>177020.71000000002</v>
      </c>
      <c r="H17" s="54">
        <v>157499.11680000013</v>
      </c>
      <c r="I17" s="174">
        <v>356776.83130000031</v>
      </c>
      <c r="J17" s="28">
        <v>408293.47000000003</v>
      </c>
      <c r="K17" s="174">
        <v>395824.26</v>
      </c>
      <c r="L17" s="54">
        <v>160626.13</v>
      </c>
      <c r="M17" s="174">
        <v>90520.99</v>
      </c>
      <c r="N17" s="28">
        <v>45353.27</v>
      </c>
      <c r="O17" s="174">
        <v>78944.19</v>
      </c>
      <c r="P17" s="54">
        <v>-56772.26</v>
      </c>
      <c r="Q17" s="132">
        <v>-359696.64000000001</v>
      </c>
      <c r="R17" s="28">
        <v>20782.689999999999</v>
      </c>
      <c r="S17" s="53">
        <v>20782.689999999999</v>
      </c>
      <c r="T17" s="54">
        <v>0</v>
      </c>
      <c r="U17" s="53">
        <v>-76731.539999999994</v>
      </c>
      <c r="V17" s="28">
        <v>-38203.56</v>
      </c>
      <c r="W17" s="53">
        <v>-38203.56</v>
      </c>
      <c r="X17" s="54"/>
      <c r="Y17" s="53">
        <v>-63595.78</v>
      </c>
      <c r="Z17" s="28">
        <v>-32852.46</v>
      </c>
      <c r="AA17" s="53">
        <v>-32852.46</v>
      </c>
      <c r="AB17" s="28"/>
    </row>
    <row r="18" spans="1:28" ht="27.95" customHeight="1">
      <c r="A18" s="10" t="s">
        <v>72</v>
      </c>
      <c r="B18" s="124">
        <f>SUM(B14:B17)</f>
        <v>2810026.0899999873</v>
      </c>
      <c r="C18" s="39">
        <f>SUM(C14:C17)</f>
        <v>6884631.5189241907</v>
      </c>
      <c r="D18" s="57">
        <f>SUM(D14:D17)</f>
        <v>7826641.4004857903</v>
      </c>
      <c r="E18" s="39">
        <f>E14+E15+E16+E17</f>
        <v>4371954.3078756519</v>
      </c>
      <c r="F18" s="56">
        <f>SUM(F14:F17)</f>
        <v>6166634.3788111163</v>
      </c>
      <c r="G18" s="39">
        <f>G14+G15+G16+G17</f>
        <v>4882295.2155076293</v>
      </c>
      <c r="H18" s="57">
        <f>SUM(H14:H17)</f>
        <v>4082281.6638467256</v>
      </c>
      <c r="I18" s="39">
        <f>I14+I15+I16+I17</f>
        <v>15218818.764420139</v>
      </c>
      <c r="J18" s="56">
        <f>SUM(J14:J17)</f>
        <v>8838099.8075583447</v>
      </c>
      <c r="K18" s="39">
        <f>K14+K15+K16+K17</f>
        <v>12390064.469999988</v>
      </c>
      <c r="L18" s="57">
        <f>SUM(L14:L17)</f>
        <v>5079232.3999999994</v>
      </c>
      <c r="M18" s="39">
        <f>M14+M15+M16+M17</f>
        <v>3804241.7899999944</v>
      </c>
      <c r="N18" s="56">
        <f>SUM(N14:N17)</f>
        <v>5669108.749999987</v>
      </c>
      <c r="O18" s="39">
        <f>O14+O15+O16+O17</f>
        <v>13837954</v>
      </c>
      <c r="P18" s="57">
        <v>2985020.21</v>
      </c>
      <c r="Q18" s="134">
        <v>13536853.609999999</v>
      </c>
      <c r="R18" s="56">
        <v>16265979.529999999</v>
      </c>
      <c r="S18" s="55">
        <v>17723515.600000001</v>
      </c>
      <c r="T18" s="57">
        <v>6560341.2800000003</v>
      </c>
      <c r="U18" s="55">
        <v>5627120.1100000003</v>
      </c>
      <c r="V18" s="56">
        <v>10590304.25</v>
      </c>
      <c r="W18" s="55">
        <v>11784139.609999999</v>
      </c>
      <c r="X18" s="57">
        <v>5046721.43</v>
      </c>
      <c r="Y18" s="55">
        <v>6009270.0899999999</v>
      </c>
      <c r="Z18" s="56">
        <v>5695036.3099999996</v>
      </c>
      <c r="AA18" s="55">
        <v>7450125.9299999997</v>
      </c>
      <c r="AB18" s="56">
        <v>4196060.5599999996</v>
      </c>
    </row>
    <row r="19" spans="1:28" ht="27.95" customHeight="1">
      <c r="A19" s="11" t="s">
        <v>73</v>
      </c>
      <c r="B19" s="456">
        <v>-1667525</v>
      </c>
      <c r="C19" s="36">
        <v>-2143473</v>
      </c>
      <c r="D19" s="54">
        <v>-1631105</v>
      </c>
      <c r="E19" s="36">
        <v>-2075401</v>
      </c>
      <c r="F19" s="28">
        <v>-1996274</v>
      </c>
      <c r="G19" s="36">
        <v>-1475022</v>
      </c>
      <c r="H19" s="54">
        <v>-889251</v>
      </c>
      <c r="I19" s="36">
        <v>-2922980</v>
      </c>
      <c r="J19" s="28">
        <v>-1765022</v>
      </c>
      <c r="K19" s="36">
        <v>-2432230</v>
      </c>
      <c r="L19" s="54">
        <v>-993443</v>
      </c>
      <c r="M19" s="36">
        <v>-1888456</v>
      </c>
      <c r="N19" s="28">
        <v>-3411046</v>
      </c>
      <c r="O19" s="36">
        <v>-5393425</v>
      </c>
      <c r="P19" s="54">
        <v>-2548219</v>
      </c>
      <c r="Q19" s="132">
        <v>-1860126</v>
      </c>
      <c r="R19" s="28">
        <v>-3440348</v>
      </c>
      <c r="S19" s="53">
        <v>-3901601</v>
      </c>
      <c r="T19" s="54">
        <v>-1501594</v>
      </c>
      <c r="U19" s="53">
        <v>-2434183</v>
      </c>
      <c r="V19" s="28">
        <v>-2940093</v>
      </c>
      <c r="W19" s="53">
        <v>-3094058</v>
      </c>
      <c r="X19" s="54">
        <v>-752490</v>
      </c>
      <c r="Y19" s="53">
        <v>-292798</v>
      </c>
      <c r="Z19" s="28">
        <v>-878143</v>
      </c>
      <c r="AA19" s="53">
        <v>-1453211</v>
      </c>
      <c r="AB19" s="28">
        <v>-825104</v>
      </c>
    </row>
    <row r="20" spans="1:28" ht="27.95" customHeight="1">
      <c r="A20" s="11" t="s">
        <v>74</v>
      </c>
      <c r="B20" s="28">
        <v>711854</v>
      </c>
      <c r="C20" s="36">
        <v>287005</v>
      </c>
      <c r="D20" s="54">
        <v>72372</v>
      </c>
      <c r="E20" s="36">
        <v>24872.760000000009</v>
      </c>
      <c r="F20" s="28">
        <v>175431</v>
      </c>
      <c r="G20" s="36">
        <v>191150</v>
      </c>
      <c r="H20" s="54">
        <v>-27870</v>
      </c>
      <c r="I20" s="36">
        <v>-1094442.1571999998</v>
      </c>
      <c r="J20" s="28">
        <v>-399088</v>
      </c>
      <c r="K20" s="36">
        <v>-176817</v>
      </c>
      <c r="L20" s="54">
        <v>31960</v>
      </c>
      <c r="M20" s="36">
        <v>295252</v>
      </c>
      <c r="N20" s="28">
        <v>179682</v>
      </c>
      <c r="O20" s="36">
        <v>975817</v>
      </c>
      <c r="P20" s="54">
        <v>1996735</v>
      </c>
      <c r="Q20" s="132">
        <v>-851704.6</v>
      </c>
      <c r="R20" s="28">
        <v>90900</v>
      </c>
      <c r="S20" s="53">
        <v>290546</v>
      </c>
      <c r="T20" s="54">
        <v>-230188</v>
      </c>
      <c r="U20" s="53">
        <v>-460455.91</v>
      </c>
      <c r="V20" s="28">
        <v>-877846.52</v>
      </c>
      <c r="W20" s="53">
        <v>-539971.46</v>
      </c>
      <c r="X20" s="54">
        <v>-875546.06</v>
      </c>
      <c r="Y20" s="53">
        <v>-76639.08</v>
      </c>
      <c r="Z20" s="28">
        <v>-1333685.18</v>
      </c>
      <c r="AA20" s="53">
        <v>-1051808.51</v>
      </c>
      <c r="AB20" s="28">
        <v>-528530.29</v>
      </c>
    </row>
    <row r="21" spans="1:28" ht="27.95" customHeight="1">
      <c r="A21" s="10" t="s">
        <v>7</v>
      </c>
      <c r="B21" s="124">
        <f>SUM(B18:B20)</f>
        <v>1854355.0899999873</v>
      </c>
      <c r="C21" s="39">
        <f>SUM(C18:C20)</f>
        <v>5028163.5189241907</v>
      </c>
      <c r="D21" s="57">
        <f>SUM(D18:D20)</f>
        <v>6267908.4004857903</v>
      </c>
      <c r="E21" s="39">
        <f>E18+E19+E20</f>
        <v>2321426.0678756516</v>
      </c>
      <c r="F21" s="56">
        <f>SUM(F18:F20)</f>
        <v>4345791.3788111163</v>
      </c>
      <c r="G21" s="39">
        <f>G18+G19+G20</f>
        <v>3598423.2155076293</v>
      </c>
      <c r="H21" s="57">
        <f>SUM(H18:H20)</f>
        <v>3165160.6638467256</v>
      </c>
      <c r="I21" s="39">
        <f>I18+I19+I20</f>
        <v>11201396.607220139</v>
      </c>
      <c r="J21" s="56">
        <f>SUM(J18:J20)</f>
        <v>6673989.8075583447</v>
      </c>
      <c r="K21" s="39">
        <f>K18+K19+K20</f>
        <v>9781017.4699999876</v>
      </c>
      <c r="L21" s="57">
        <f>SUM(L18:L20)</f>
        <v>4117749.3999999994</v>
      </c>
      <c r="M21" s="39">
        <f>M18+M19+M20</f>
        <v>2211037.7899999944</v>
      </c>
      <c r="N21" s="56">
        <f>SUM(N18:N20)</f>
        <v>2437744.749999987</v>
      </c>
      <c r="O21" s="39">
        <f>O18+O19+O20</f>
        <v>9420346</v>
      </c>
      <c r="P21" s="57">
        <v>2433536.21</v>
      </c>
      <c r="Q21" s="134">
        <v>10825023.01</v>
      </c>
      <c r="R21" s="56">
        <v>12916531.529999999</v>
      </c>
      <c r="S21" s="55">
        <v>14112460.6</v>
      </c>
      <c r="T21" s="57">
        <v>4828559.28</v>
      </c>
      <c r="U21" s="55">
        <v>2732481.2</v>
      </c>
      <c r="V21" s="56">
        <v>6772364.7300000004</v>
      </c>
      <c r="W21" s="55">
        <v>8150110.1500000004</v>
      </c>
      <c r="X21" s="57">
        <v>3418685.37</v>
      </c>
      <c r="Y21" s="55">
        <v>5639833.0099999998</v>
      </c>
      <c r="Z21" s="56">
        <v>3483208.13</v>
      </c>
      <c r="AA21" s="55">
        <v>4945106.42</v>
      </c>
      <c r="AB21" s="56">
        <v>2842426.27</v>
      </c>
    </row>
    <row r="22" spans="1:28" ht="27.95" customHeight="1">
      <c r="A22" s="10" t="s">
        <v>176</v>
      </c>
      <c r="B22" s="56">
        <v>1523656.3</v>
      </c>
      <c r="C22" s="39">
        <v>5191774.1677241903</v>
      </c>
      <c r="D22" s="57">
        <v>6374349.0984857902</v>
      </c>
      <c r="E22" s="39">
        <f>E21-E23</f>
        <v>2915291.4158756519</v>
      </c>
      <c r="F22" s="56">
        <v>4810068.7168111168</v>
      </c>
      <c r="G22" s="39">
        <f>G21-G23</f>
        <v>3940590.1295076292</v>
      </c>
      <c r="H22" s="57">
        <v>3286973.2438467257</v>
      </c>
      <c r="I22" s="39">
        <f>I21-I23</f>
        <v>12128052.429620139</v>
      </c>
      <c r="J22" s="56">
        <v>6822943.377558345</v>
      </c>
      <c r="K22" s="39">
        <f>K21-K23</f>
        <v>9913186.8599999882</v>
      </c>
      <c r="L22" s="57">
        <v>4178153.28</v>
      </c>
      <c r="M22" s="39">
        <v>2686164.07</v>
      </c>
      <c r="N22" s="56">
        <v>2882251.44</v>
      </c>
      <c r="O22" s="39">
        <f>O21-O23</f>
        <v>9572421.1500000004</v>
      </c>
      <c r="P22" s="57">
        <v>2523248.2000000002</v>
      </c>
      <c r="Q22" s="134">
        <v>11056070.35</v>
      </c>
      <c r="R22" s="56">
        <v>13031341.41</v>
      </c>
      <c r="S22" s="55">
        <v>14176106.550000001</v>
      </c>
      <c r="T22" s="57">
        <v>4846202.47</v>
      </c>
      <c r="U22" s="55">
        <v>2740681.01</v>
      </c>
      <c r="V22" s="56"/>
      <c r="W22" s="55"/>
      <c r="X22" s="57"/>
      <c r="Y22" s="55"/>
      <c r="Z22" s="56"/>
      <c r="AA22" s="55"/>
      <c r="AB22" s="56"/>
    </row>
    <row r="23" spans="1:28" ht="27.95" customHeight="1">
      <c r="A23" s="10" t="s">
        <v>177</v>
      </c>
      <c r="B23" s="56">
        <f>B21-B22</f>
        <v>330698.78999998723</v>
      </c>
      <c r="C23" s="39">
        <f>C21-C22</f>
        <v>-163610.64879999962</v>
      </c>
      <c r="D23" s="57">
        <f>D21-D22</f>
        <v>-106440.69799999986</v>
      </c>
      <c r="E23" s="39">
        <v>-593865.348</v>
      </c>
      <c r="F23" s="56">
        <f>F21-F22</f>
        <v>-464277.33800000045</v>
      </c>
      <c r="G23" s="39">
        <v>-342166.91399999999</v>
      </c>
      <c r="H23" s="57">
        <f>H21-H22</f>
        <v>-121812.58000000007</v>
      </c>
      <c r="I23" s="39">
        <v>-926655.82239999995</v>
      </c>
      <c r="J23" s="56">
        <f>J21-J22</f>
        <v>-148953.5700000003</v>
      </c>
      <c r="K23" s="39">
        <v>-132169.39000000001</v>
      </c>
      <c r="L23" s="57">
        <f>L21-L22</f>
        <v>-60403.880000000354</v>
      </c>
      <c r="M23" s="39">
        <v>-475126.28</v>
      </c>
      <c r="N23" s="56">
        <v>-444506.69</v>
      </c>
      <c r="O23" s="39">
        <v>-152075.15</v>
      </c>
      <c r="P23" s="57">
        <v>-89711.99</v>
      </c>
      <c r="Q23" s="134">
        <v>-231047.34</v>
      </c>
      <c r="R23" s="56">
        <v>-114809.88</v>
      </c>
      <c r="S23" s="55">
        <v>-63645.95</v>
      </c>
      <c r="T23" s="57">
        <v>-17643.189999999999</v>
      </c>
      <c r="U23" s="55">
        <v>-8199.81</v>
      </c>
      <c r="V23" s="56"/>
      <c r="W23" s="55"/>
      <c r="X23" s="57"/>
      <c r="Y23" s="55"/>
      <c r="Z23" s="56"/>
      <c r="AA23" s="55"/>
      <c r="AB23" s="56"/>
    </row>
    <row r="24" spans="1:28" ht="27.95" customHeight="1">
      <c r="A24" s="10" t="s">
        <v>75</v>
      </c>
      <c r="B24" s="56"/>
      <c r="C24" s="39"/>
      <c r="D24" s="54"/>
      <c r="E24" s="39"/>
      <c r="F24" s="28"/>
      <c r="G24" s="39"/>
      <c r="H24" s="54"/>
      <c r="I24" s="39"/>
      <c r="J24" s="28"/>
      <c r="K24" s="39"/>
      <c r="L24" s="54"/>
      <c r="M24" s="39"/>
      <c r="N24" s="28"/>
      <c r="O24" s="39"/>
      <c r="P24" s="54"/>
      <c r="Q24" s="132"/>
      <c r="R24" s="28"/>
      <c r="S24" s="53"/>
      <c r="T24" s="54"/>
      <c r="U24" s="53"/>
      <c r="V24" s="28"/>
      <c r="W24" s="53"/>
      <c r="X24" s="54"/>
      <c r="Y24" s="53"/>
      <c r="Z24" s="28"/>
      <c r="AA24" s="53"/>
      <c r="AB24" s="28"/>
    </row>
    <row r="25" spans="1:28" ht="27.95" customHeight="1">
      <c r="A25" s="14" t="s">
        <v>126</v>
      </c>
      <c r="B25" s="28"/>
      <c r="C25" s="164"/>
      <c r="D25" s="54"/>
      <c r="E25" s="164"/>
      <c r="F25" s="28"/>
      <c r="G25" s="164"/>
      <c r="H25" s="54"/>
      <c r="I25" s="164"/>
      <c r="J25" s="28"/>
      <c r="K25" s="164"/>
      <c r="L25" s="54"/>
      <c r="M25" s="164"/>
      <c r="N25" s="28"/>
      <c r="O25" s="164"/>
      <c r="P25" s="54"/>
      <c r="Q25" s="132"/>
      <c r="R25" s="28"/>
      <c r="S25" s="53"/>
      <c r="T25" s="54"/>
      <c r="U25" s="53"/>
      <c r="V25" s="28"/>
      <c r="W25" s="53"/>
      <c r="X25" s="54"/>
      <c r="Y25" s="53"/>
      <c r="Z25" s="28"/>
      <c r="AA25" s="53"/>
      <c r="AB25" s="28"/>
    </row>
    <row r="26" spans="1:28" ht="27.95" customHeight="1">
      <c r="A26" s="21" t="s">
        <v>127</v>
      </c>
      <c r="B26" s="28"/>
      <c r="C26" s="175"/>
      <c r="D26" s="54"/>
      <c r="E26" s="175"/>
      <c r="F26" s="28"/>
      <c r="G26" s="175"/>
      <c r="H26" s="54"/>
      <c r="I26" s="175"/>
      <c r="J26" s="28"/>
      <c r="K26" s="175"/>
      <c r="L26" s="54"/>
      <c r="M26" s="175"/>
      <c r="N26" s="28"/>
      <c r="O26" s="175"/>
      <c r="P26" s="54"/>
      <c r="Q26" s="132"/>
      <c r="R26" s="28"/>
      <c r="S26" s="53"/>
      <c r="T26" s="54"/>
      <c r="U26" s="53"/>
      <c r="V26" s="28"/>
      <c r="W26" s="53"/>
      <c r="X26" s="54"/>
      <c r="Y26" s="53">
        <v>540600</v>
      </c>
      <c r="Z26" s="28"/>
      <c r="AA26" s="53"/>
      <c r="AB26" s="28"/>
    </row>
    <row r="27" spans="1:28" ht="27.95" customHeight="1">
      <c r="A27" s="21" t="s">
        <v>128</v>
      </c>
      <c r="B27" s="28"/>
      <c r="C27" s="175"/>
      <c r="D27" s="54"/>
      <c r="E27" s="175"/>
      <c r="F27" s="28"/>
      <c r="G27" s="175"/>
      <c r="H27" s="54"/>
      <c r="I27" s="175"/>
      <c r="J27" s="28"/>
      <c r="K27" s="175"/>
      <c r="L27" s="54"/>
      <c r="M27" s="175"/>
      <c r="N27" s="28"/>
      <c r="O27" s="175"/>
      <c r="P27" s="54"/>
      <c r="Q27" s="132"/>
      <c r="R27" s="28"/>
      <c r="S27" s="53"/>
      <c r="T27" s="54"/>
      <c r="U27" s="53"/>
      <c r="V27" s="28"/>
      <c r="W27" s="53"/>
      <c r="X27" s="54"/>
      <c r="Y27" s="53">
        <v>-102714</v>
      </c>
      <c r="Z27" s="28"/>
      <c r="AA27" s="53"/>
      <c r="AB27" s="28"/>
    </row>
    <row r="28" spans="1:28" ht="27.95" customHeight="1">
      <c r="A28" s="14" t="s">
        <v>129</v>
      </c>
      <c r="B28" s="28"/>
      <c r="C28" s="164"/>
      <c r="D28" s="54"/>
      <c r="E28" s="164"/>
      <c r="F28" s="28"/>
      <c r="G28" s="164"/>
      <c r="H28" s="54"/>
      <c r="I28" s="164"/>
      <c r="J28" s="28"/>
      <c r="K28" s="164"/>
      <c r="L28" s="54"/>
      <c r="M28" s="164"/>
      <c r="N28" s="28"/>
      <c r="O28" s="164"/>
      <c r="P28" s="54"/>
      <c r="Q28" s="132"/>
      <c r="R28" s="28"/>
      <c r="S28" s="53"/>
      <c r="T28" s="54"/>
      <c r="U28" s="53"/>
      <c r="V28" s="28"/>
      <c r="W28" s="53"/>
      <c r="X28" s="54"/>
      <c r="Y28" s="53"/>
      <c r="Z28" s="28"/>
      <c r="AA28" s="53"/>
      <c r="AB28" s="28"/>
    </row>
    <row r="29" spans="1:28" ht="27.95" customHeight="1">
      <c r="A29" s="11" t="s">
        <v>161</v>
      </c>
      <c r="B29" s="28">
        <v>-227856.79</v>
      </c>
      <c r="C29" s="36">
        <v>-337111.22</v>
      </c>
      <c r="D29" s="54">
        <v>-15935.959999999992</v>
      </c>
      <c r="E29" s="36">
        <v>-70163.199999999953</v>
      </c>
      <c r="F29" s="28">
        <v>-34768.080000000075</v>
      </c>
      <c r="G29" s="36">
        <v>-46502.39</v>
      </c>
      <c r="H29" s="54">
        <v>-71745.63</v>
      </c>
      <c r="I29" s="36">
        <v>424596.22</v>
      </c>
      <c r="J29" s="28">
        <v>46224.599999999991</v>
      </c>
      <c r="K29" s="36">
        <v>208252.33</v>
      </c>
      <c r="L29" s="54">
        <v>-135654.26</v>
      </c>
      <c r="M29" s="36">
        <v>323670.63</v>
      </c>
      <c r="N29" s="28">
        <v>288246.19</v>
      </c>
      <c r="O29" s="36">
        <v>212188.22</v>
      </c>
      <c r="P29" s="54">
        <v>252476.88</v>
      </c>
      <c r="Q29" s="132">
        <v>-191866.5</v>
      </c>
      <c r="R29" s="28">
        <v>119051.16</v>
      </c>
      <c r="S29" s="53">
        <v>4814.03</v>
      </c>
      <c r="T29" s="54">
        <v>-1812.36</v>
      </c>
      <c r="U29" s="53">
        <v>-8081.5</v>
      </c>
      <c r="V29" s="28"/>
      <c r="W29" s="53"/>
      <c r="X29" s="54"/>
      <c r="Y29" s="53"/>
      <c r="Z29" s="28"/>
      <c r="AA29" s="53"/>
      <c r="AB29" s="28"/>
    </row>
    <row r="30" spans="1:28" ht="27.95" customHeight="1">
      <c r="A30" s="11" t="s">
        <v>130</v>
      </c>
      <c r="B30" s="28">
        <v>583968.67000000004</v>
      </c>
      <c r="C30" s="36">
        <v>239915.24</v>
      </c>
      <c r="D30" s="54">
        <v>135810.75</v>
      </c>
      <c r="E30" s="36">
        <v>-122710.58</v>
      </c>
      <c r="F30" s="28">
        <v>962338.62999999989</v>
      </c>
      <c r="G30" s="36">
        <v>962338.63</v>
      </c>
      <c r="H30" s="54"/>
      <c r="I30" s="36">
        <v>-142340.78999999998</v>
      </c>
      <c r="J30" s="28">
        <v>95201.76</v>
      </c>
      <c r="K30" s="36">
        <v>95201.76</v>
      </c>
      <c r="L30" s="54"/>
      <c r="M30" s="36">
        <v>-138379.70000000001</v>
      </c>
      <c r="N30" s="28">
        <v>-108126.63</v>
      </c>
      <c r="O30" s="36">
        <v>-108126.63</v>
      </c>
      <c r="P30" s="54"/>
      <c r="Q30" s="132">
        <v>210670</v>
      </c>
      <c r="R30" s="28">
        <v>-219668.95</v>
      </c>
      <c r="S30" s="53">
        <v>-219668.95</v>
      </c>
      <c r="T30" s="54"/>
      <c r="U30" s="53">
        <v>-89002.36</v>
      </c>
      <c r="V30" s="28">
        <v>-116237.17</v>
      </c>
      <c r="W30" s="53">
        <v>-116237.32</v>
      </c>
      <c r="X30" s="54"/>
      <c r="Y30" s="53">
        <v>616674.94999999995</v>
      </c>
      <c r="Z30" s="28">
        <v>821525.27</v>
      </c>
      <c r="AA30" s="53">
        <v>821525.27</v>
      </c>
      <c r="AB30" s="28"/>
    </row>
    <row r="31" spans="1:28" ht="27.95" customHeight="1">
      <c r="A31" s="11" t="s">
        <v>131</v>
      </c>
      <c r="B31" s="28">
        <v>-206672.25</v>
      </c>
      <c r="C31" s="36">
        <v>-12365.75</v>
      </c>
      <c r="D31" s="54">
        <v>-172487.75</v>
      </c>
      <c r="E31" s="36">
        <f>-702833.77-556883.77</f>
        <v>-1259717.54</v>
      </c>
      <c r="F31" s="28">
        <f>-611300.46-550020.41</f>
        <v>-1161320.8700000001</v>
      </c>
      <c r="G31" s="36">
        <f>219686.64-543765.92</f>
        <v>-324079.28000000003</v>
      </c>
      <c r="H31" s="54">
        <v>304788.18999999994</v>
      </c>
      <c r="I31" s="36">
        <v>711847.05999999994</v>
      </c>
      <c r="J31" s="28">
        <v>250801.63</v>
      </c>
      <c r="K31" s="36">
        <v>127737.81</v>
      </c>
      <c r="L31" s="54">
        <v>163572.95000000001</v>
      </c>
      <c r="M31" s="36">
        <v>-145580.10999999999</v>
      </c>
      <c r="N31" s="28">
        <f>191034.24-307904.22</f>
        <v>-116869.97999999998</v>
      </c>
      <c r="O31" s="36">
        <v>-600225.84</v>
      </c>
      <c r="P31" s="54">
        <v>-20650.59</v>
      </c>
      <c r="Q31" s="132">
        <v>776870.72</v>
      </c>
      <c r="R31" s="28">
        <v>737338.33</v>
      </c>
      <c r="S31" s="53">
        <v>711152.54</v>
      </c>
      <c r="T31" s="54">
        <v>1093141.67</v>
      </c>
      <c r="U31" s="53">
        <v>3736933.34</v>
      </c>
      <c r="V31" s="28">
        <v>3043002.53</v>
      </c>
      <c r="W31" s="53">
        <v>268600.96000000002</v>
      </c>
      <c r="X31" s="54">
        <v>-437423.24</v>
      </c>
      <c r="Y31" s="53">
        <v>1669138.02</v>
      </c>
      <c r="Z31" s="28">
        <v>1704572.53</v>
      </c>
      <c r="AA31" s="53">
        <v>1393720.13</v>
      </c>
      <c r="AB31" s="28">
        <v>1708538.35</v>
      </c>
    </row>
    <row r="32" spans="1:28" ht="27.95" customHeight="1">
      <c r="A32" s="11" t="s">
        <v>132</v>
      </c>
      <c r="B32" s="28">
        <v>-46346.080000000002</v>
      </c>
      <c r="C32" s="36">
        <v>14542.320000000007</v>
      </c>
      <c r="D32" s="54">
        <v>9995.7400000000016</v>
      </c>
      <c r="E32" s="36">
        <v>275993.28120000003</v>
      </c>
      <c r="F32" s="28">
        <v>44414.001200000013</v>
      </c>
      <c r="G32" s="36">
        <v>-112432.39880000001</v>
      </c>
      <c r="H32" s="54">
        <v>-44277.678800000009</v>
      </c>
      <c r="I32" s="36">
        <v>-188880.51120000001</v>
      </c>
      <c r="J32" s="28">
        <v>-74524.399999999994</v>
      </c>
      <c r="K32" s="36">
        <v>-81927.399999999994</v>
      </c>
      <c r="L32" s="54">
        <v>-5305</v>
      </c>
      <c r="M32" s="36">
        <v>-7543</v>
      </c>
      <c r="N32" s="28">
        <v>-12018</v>
      </c>
      <c r="O32" s="36">
        <v>94271</v>
      </c>
      <c r="P32" s="54">
        <v>-44046</v>
      </c>
      <c r="Q32" s="132">
        <v>-151178.6</v>
      </c>
      <c r="R32" s="28">
        <v>-120977</v>
      </c>
      <c r="S32" s="53">
        <v>-94297</v>
      </c>
      <c r="T32" s="54">
        <v>-207697</v>
      </c>
      <c r="U32" s="53">
        <v>-691572.05</v>
      </c>
      <c r="V32" s="28">
        <v>-556085.65</v>
      </c>
      <c r="W32" s="53">
        <v>-28949.5</v>
      </c>
      <c r="X32" s="54">
        <v>83110</v>
      </c>
      <c r="Y32" s="53">
        <v>-434302.35</v>
      </c>
      <c r="Z32" s="28">
        <v>-479956</v>
      </c>
      <c r="AA32" s="53">
        <v>-420896</v>
      </c>
      <c r="AB32" s="28">
        <v>-324621</v>
      </c>
    </row>
    <row r="33" spans="1:28" s="172" customFormat="1" ht="27.95" customHeight="1">
      <c r="A33" s="14" t="s">
        <v>133</v>
      </c>
      <c r="B33" s="124">
        <f>SUM(B29:B32)</f>
        <v>103093.55</v>
      </c>
      <c r="C33" s="164">
        <f>SUM(C29:C32)</f>
        <v>-95019.409999999974</v>
      </c>
      <c r="D33" s="176">
        <f>SUM(D29:D32)</f>
        <v>-42617.219999999987</v>
      </c>
      <c r="E33" s="164">
        <f>SUM(E26:E32)</f>
        <v>-1176598.0388</v>
      </c>
      <c r="F33" s="178">
        <f>SUM(F29:F32)</f>
        <v>-189336.3188000003</v>
      </c>
      <c r="G33" s="164">
        <f>SUM(G26:G32)</f>
        <v>479324.56119999994</v>
      </c>
      <c r="H33" s="176">
        <f>SUM(H29:H32)</f>
        <v>188764.88119999995</v>
      </c>
      <c r="I33" s="164">
        <f>SUM(I26:I32)</f>
        <v>805221.97879999992</v>
      </c>
      <c r="J33" s="178">
        <f>SUM(J29:J32)</f>
        <v>317703.58999999997</v>
      </c>
      <c r="K33" s="164">
        <f>SUM(K26:K32)</f>
        <v>349264.5</v>
      </c>
      <c r="L33" s="176">
        <f>SUM(L29:L32)</f>
        <v>22613.690000000002</v>
      </c>
      <c r="M33" s="164">
        <f>SUM(M26:M32)</f>
        <v>32167.820000000007</v>
      </c>
      <c r="N33" s="178">
        <f>SUM(N29:N32)</f>
        <v>51231.580000000016</v>
      </c>
      <c r="O33" s="164">
        <f>SUM(O26:O32)</f>
        <v>-401893.25</v>
      </c>
      <c r="P33" s="176">
        <v>187780.29</v>
      </c>
      <c r="Q33" s="177">
        <v>644495.62</v>
      </c>
      <c r="R33" s="178">
        <v>515743.54</v>
      </c>
      <c r="S33" s="179">
        <v>402000.62</v>
      </c>
      <c r="T33" s="176">
        <v>883632.31</v>
      </c>
      <c r="U33" s="179">
        <v>2948277.43</v>
      </c>
      <c r="V33" s="178">
        <v>2370679.71</v>
      </c>
      <c r="W33" s="179">
        <v>123414.14</v>
      </c>
      <c r="X33" s="176">
        <v>-354313.24</v>
      </c>
      <c r="Y33" s="179">
        <v>2289396.62</v>
      </c>
      <c r="Z33" s="178">
        <v>2046141.8</v>
      </c>
      <c r="AA33" s="179">
        <v>1794349.4</v>
      </c>
      <c r="AB33" s="178">
        <v>1383917.35</v>
      </c>
    </row>
    <row r="34" spans="1:28" ht="27.95" customHeight="1">
      <c r="A34" s="10" t="s">
        <v>76</v>
      </c>
      <c r="B34" s="178">
        <f>B21+B33</f>
        <v>1957448.6399999873</v>
      </c>
      <c r="C34" s="39">
        <f>C21+C33</f>
        <v>4933144.1089241905</v>
      </c>
      <c r="D34" s="125">
        <f>D21+D33</f>
        <v>6225291.1804857906</v>
      </c>
      <c r="E34" s="39">
        <f>E21+E33</f>
        <v>1144828.0290756517</v>
      </c>
      <c r="F34" s="124">
        <f>SUM(F21,F33)</f>
        <v>4156455.0600111159</v>
      </c>
      <c r="G34" s="39">
        <f>G21+G33</f>
        <v>4077747.7767076292</v>
      </c>
      <c r="H34" s="125">
        <f>H21+H33</f>
        <v>3353925.5450467253</v>
      </c>
      <c r="I34" s="39">
        <f>I21+I33</f>
        <v>12006618.58602014</v>
      </c>
      <c r="J34" s="124">
        <f>SUM(J21,J33)</f>
        <v>6991693.3975583445</v>
      </c>
      <c r="K34" s="39">
        <f>K21+K33</f>
        <v>10130281.969999988</v>
      </c>
      <c r="L34" s="125">
        <f>L21+L33</f>
        <v>4140363.0899999994</v>
      </c>
      <c r="M34" s="39">
        <f>SUM(M21,M33)</f>
        <v>2243205.6099999943</v>
      </c>
      <c r="N34" s="124">
        <f>SUM(N21,N33)</f>
        <v>2488976.329999987</v>
      </c>
      <c r="O34" s="39">
        <f>O21+O33</f>
        <v>9018452.75</v>
      </c>
      <c r="P34" s="125">
        <v>2621316.5</v>
      </c>
      <c r="Q34" s="156">
        <v>11469518.630000001</v>
      </c>
      <c r="R34" s="124">
        <v>13432275.07</v>
      </c>
      <c r="S34" s="123">
        <v>14514461.220000001</v>
      </c>
      <c r="T34" s="125">
        <v>5712191.5899999999</v>
      </c>
      <c r="U34" s="123">
        <v>5680758.6299999999</v>
      </c>
      <c r="V34" s="124">
        <v>9143044.4399999995</v>
      </c>
      <c r="W34" s="123">
        <v>8273524.29</v>
      </c>
      <c r="X34" s="125">
        <v>3064372.13</v>
      </c>
      <c r="Y34" s="123">
        <v>7929229.6299999999</v>
      </c>
      <c r="Z34" s="124">
        <v>5529349.9299999997</v>
      </c>
      <c r="AA34" s="123">
        <v>6739455.8200000003</v>
      </c>
      <c r="AB34" s="124">
        <v>4226343.6100000003</v>
      </c>
    </row>
    <row r="35" spans="1:28" s="180" customFormat="1" ht="27.95" customHeight="1">
      <c r="A35" s="10" t="s">
        <v>178</v>
      </c>
      <c r="B35" s="124">
        <v>1659812.64</v>
      </c>
      <c r="C35" s="39">
        <v>5233628.3677241905</v>
      </c>
      <c r="D35" s="125">
        <v>6338056.9084857907</v>
      </c>
      <c r="E35" s="39">
        <f>E34-E36</f>
        <v>1766541.0170756516</v>
      </c>
      <c r="F35" s="124">
        <v>4634531.8180111162</v>
      </c>
      <c r="G35" s="39">
        <f>G34-G36</f>
        <v>4438371.4207076291</v>
      </c>
      <c r="H35" s="125">
        <v>3504214.1350467252</v>
      </c>
      <c r="I35" s="39">
        <f>I34-I36</f>
        <v>12764752.278420139</v>
      </c>
      <c r="J35" s="124">
        <v>7122300.5875583449</v>
      </c>
      <c r="K35" s="39">
        <f>K34-K36</f>
        <v>10179796.039999988</v>
      </c>
      <c r="L35" s="125">
        <v>4254608.3</v>
      </c>
      <c r="M35" s="39">
        <v>2589866.81</v>
      </c>
      <c r="N35" s="124">
        <v>2819078.22</v>
      </c>
      <c r="O35" s="39">
        <f>O34-O36</f>
        <v>9086310.5099999998</v>
      </c>
      <c r="P35" s="125">
        <v>2610820.12</v>
      </c>
      <c r="Q35" s="156">
        <v>11776717.609999999</v>
      </c>
      <c r="R35" s="124">
        <v>13499833.68</v>
      </c>
      <c r="S35" s="123">
        <v>14576196.65</v>
      </c>
      <c r="T35" s="125">
        <v>5730722.8399999999</v>
      </c>
      <c r="U35" s="123">
        <v>5692166.2300000004</v>
      </c>
      <c r="V35" s="124"/>
      <c r="W35" s="123"/>
      <c r="X35" s="125"/>
      <c r="Y35" s="123"/>
      <c r="Z35" s="124"/>
      <c r="AA35" s="123"/>
      <c r="AB35" s="124"/>
    </row>
    <row r="36" spans="1:28" s="180" customFormat="1" ht="27.95" customHeight="1">
      <c r="A36" s="10" t="s">
        <v>179</v>
      </c>
      <c r="B36" s="124">
        <v>297636</v>
      </c>
      <c r="C36" s="39">
        <f>C34-C35</f>
        <v>-300484.25879999995</v>
      </c>
      <c r="D36" s="125">
        <f>D34-D35</f>
        <v>-112765.72800000012</v>
      </c>
      <c r="E36" s="39">
        <v>-621712.9879999999</v>
      </c>
      <c r="F36" s="124">
        <f>F34-F35</f>
        <v>-478076.75800000038</v>
      </c>
      <c r="G36" s="39">
        <v>-360623.64399999997</v>
      </c>
      <c r="H36" s="125">
        <f>H34-H35</f>
        <v>-150288.58999999985</v>
      </c>
      <c r="I36" s="39">
        <v>-758133.69239999994</v>
      </c>
      <c r="J36" s="124">
        <f>J34-J35</f>
        <v>-130607.19000000041</v>
      </c>
      <c r="K36" s="39">
        <v>-49514.07</v>
      </c>
      <c r="L36" s="125">
        <f>L34-L35</f>
        <v>-114245.21000000043</v>
      </c>
      <c r="M36" s="39">
        <v>-346661.2</v>
      </c>
      <c r="N36" s="124">
        <v>-330101.89</v>
      </c>
      <c r="O36" s="39">
        <v>-67857.759999999995</v>
      </c>
      <c r="P36" s="125">
        <v>10496.38</v>
      </c>
      <c r="Q36" s="156">
        <v>-307198.98</v>
      </c>
      <c r="R36" s="124">
        <v>-67558.61</v>
      </c>
      <c r="S36" s="123">
        <v>-61735.43</v>
      </c>
      <c r="T36" s="125">
        <v>-18531.25</v>
      </c>
      <c r="U36" s="123">
        <v>-11407.6</v>
      </c>
      <c r="V36" s="124"/>
      <c r="W36" s="123"/>
      <c r="X36" s="125"/>
      <c r="Y36" s="123"/>
      <c r="Z36" s="124"/>
      <c r="AA36" s="123"/>
      <c r="AB36" s="124"/>
    </row>
    <row r="37" spans="1:28">
      <c r="B37" s="1"/>
      <c r="D37" s="1"/>
      <c r="E37" s="1"/>
    </row>
    <row r="38" spans="1:28">
      <c r="B38" s="1"/>
      <c r="D38" s="1"/>
      <c r="E38" s="1"/>
    </row>
    <row r="39" spans="1:28">
      <c r="B39" s="1"/>
      <c r="D39" s="1"/>
      <c r="E39" s="1"/>
    </row>
    <row r="40" spans="1:28">
      <c r="B40" s="1"/>
      <c r="D40" s="1"/>
      <c r="E40" s="1"/>
    </row>
    <row r="41" spans="1:28">
      <c r="B41" s="1"/>
      <c r="D41" s="1"/>
      <c r="E41" s="1"/>
    </row>
    <row r="42" spans="1:28">
      <c r="B42" s="1"/>
      <c r="D42" s="1"/>
      <c r="E42" s="1"/>
    </row>
    <row r="43" spans="1:28">
      <c r="B43" s="1"/>
      <c r="D43" s="1"/>
      <c r="E43" s="1"/>
    </row>
  </sheetData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  <colBreaks count="1" manualBreakCount="1">
    <brk id="25" max="1048575" man="1"/>
  </colBreaks>
  <ignoredErrors>
    <ignoredError sqref="H8:N21 H33:M34 N33 E8:G21 E33:G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6"/>
  <sheetViews>
    <sheetView showGridLines="0" zoomScale="60" zoomScaleNormal="60" zoomScaleSheetLayoutView="30" zoomScalePageLayoutView="50" workbookViewId="0">
      <pane xSplit="1" topLeftCell="B1" activePane="topRight" state="frozen"/>
      <selection pane="topRight"/>
    </sheetView>
  </sheetViews>
  <sheetFormatPr defaultRowHeight="18.75"/>
  <cols>
    <col min="1" max="1" width="119" customWidth="1"/>
    <col min="2" max="9" width="21.7109375" customWidth="1"/>
    <col min="10" max="10" width="21.5703125" customWidth="1"/>
    <col min="11" max="11" width="21.5703125" style="196" customWidth="1"/>
    <col min="12" max="12" width="21.7109375" customWidth="1"/>
    <col min="13" max="13" width="21.7109375" style="13" customWidth="1"/>
    <col min="14" max="28" width="21.7109375" customWidth="1"/>
  </cols>
  <sheetData>
    <row r="1" spans="1:28" ht="50.1" customHeight="1">
      <c r="A1" s="320" t="s">
        <v>150</v>
      </c>
      <c r="B1" s="447"/>
      <c r="C1" s="443"/>
      <c r="D1" s="320"/>
      <c r="E1" s="245"/>
      <c r="F1" s="244"/>
      <c r="G1" s="241"/>
      <c r="H1" s="235"/>
      <c r="I1" s="229"/>
      <c r="J1" s="228"/>
      <c r="K1" s="162"/>
      <c r="L1" s="157"/>
      <c r="M1" s="162"/>
      <c r="N1" s="13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13"/>
      <c r="AA1" s="113"/>
      <c r="AB1" s="113"/>
    </row>
    <row r="2" spans="1:28" ht="22.5" customHeight="1"/>
    <row r="3" spans="1:28" ht="28.5" customHeight="1">
      <c r="A3" s="323" t="s">
        <v>151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28">
      <c r="A4" s="9"/>
      <c r="B4" s="9"/>
      <c r="C4" s="9"/>
      <c r="D4" s="9"/>
      <c r="E4" s="9"/>
      <c r="F4" s="9"/>
      <c r="G4" s="9"/>
      <c r="H4" s="9"/>
      <c r="I4" s="9"/>
      <c r="J4" s="9"/>
      <c r="K4" s="209"/>
      <c r="L4" s="9"/>
      <c r="M4" s="17"/>
      <c r="N4" s="181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27.95" customHeight="1">
      <c r="A5" s="25"/>
      <c r="B5" s="66" t="s">
        <v>215</v>
      </c>
      <c r="C5" s="29" t="s">
        <v>212</v>
      </c>
      <c r="D5" s="182" t="s">
        <v>211</v>
      </c>
      <c r="E5" s="29" t="s">
        <v>210</v>
      </c>
      <c r="F5" s="66" t="s">
        <v>207</v>
      </c>
      <c r="G5" s="29" t="s">
        <v>201</v>
      </c>
      <c r="H5" s="182" t="s">
        <v>199</v>
      </c>
      <c r="I5" s="29" t="s">
        <v>205</v>
      </c>
      <c r="J5" s="66" t="s">
        <v>195</v>
      </c>
      <c r="K5" s="29" t="s">
        <v>193</v>
      </c>
      <c r="L5" s="182" t="s">
        <v>191</v>
      </c>
      <c r="M5" s="29" t="s">
        <v>189</v>
      </c>
      <c r="N5" s="66" t="s">
        <v>187</v>
      </c>
      <c r="O5" s="29" t="s">
        <v>183</v>
      </c>
      <c r="P5" s="182" t="s">
        <v>163</v>
      </c>
      <c r="Q5" s="65" t="s">
        <v>117</v>
      </c>
      <c r="R5" s="66" t="s">
        <v>14</v>
      </c>
      <c r="S5" s="67" t="s">
        <v>15</v>
      </c>
      <c r="T5" s="68" t="s">
        <v>16</v>
      </c>
      <c r="U5" s="67" t="s">
        <v>17</v>
      </c>
      <c r="V5" s="66" t="s">
        <v>18</v>
      </c>
      <c r="W5" s="67" t="s">
        <v>19</v>
      </c>
      <c r="X5" s="68" t="s">
        <v>20</v>
      </c>
      <c r="Y5" s="67" t="s">
        <v>21</v>
      </c>
      <c r="Z5" s="66" t="s">
        <v>22</v>
      </c>
      <c r="AA5" s="67" t="s">
        <v>23</v>
      </c>
      <c r="AB5" s="66" t="s">
        <v>24</v>
      </c>
    </row>
    <row r="6" spans="1:28" ht="27.95" customHeight="1">
      <c r="A6" s="324" t="s">
        <v>82</v>
      </c>
      <c r="B6" s="327"/>
      <c r="C6" s="324"/>
      <c r="D6" s="326"/>
      <c r="E6" s="324"/>
      <c r="F6" s="327"/>
      <c r="G6" s="325"/>
      <c r="H6" s="326"/>
      <c r="I6" s="324"/>
      <c r="J6" s="327"/>
      <c r="K6" s="325"/>
      <c r="L6" s="326"/>
      <c r="M6" s="328"/>
      <c r="N6" s="327"/>
      <c r="O6" s="325"/>
      <c r="P6" s="326"/>
      <c r="Q6" s="329"/>
      <c r="R6" s="327"/>
      <c r="S6" s="329"/>
      <c r="T6" s="330"/>
      <c r="U6" s="329"/>
      <c r="V6" s="327"/>
      <c r="W6" s="329"/>
      <c r="X6" s="330"/>
      <c r="Y6" s="329"/>
      <c r="Z6" s="327"/>
      <c r="AA6" s="329"/>
      <c r="AB6" s="327"/>
    </row>
    <row r="7" spans="1:28" ht="27.95" customHeight="1">
      <c r="A7" s="26" t="s">
        <v>83</v>
      </c>
      <c r="B7" s="64">
        <f>2810026.08+0.01</f>
        <v>2810026.09</v>
      </c>
      <c r="C7" s="37">
        <v>6884631.5189241692</v>
      </c>
      <c r="D7" s="183">
        <v>7826641.4004857857</v>
      </c>
      <c r="E7" s="37">
        <v>4371954.307875663</v>
      </c>
      <c r="F7" s="64">
        <v>6166634.3788111517</v>
      </c>
      <c r="G7" s="37">
        <v>4882295.22</v>
      </c>
      <c r="H7" s="183">
        <v>4082281.6638467088</v>
      </c>
      <c r="I7" s="37">
        <v>15218818.764420107</v>
      </c>
      <c r="J7" s="64">
        <f>'RZIS '!J18</f>
        <v>8838099.8075583447</v>
      </c>
      <c r="K7" s="37">
        <f>'RZIS '!K18</f>
        <v>12390064.469999988</v>
      </c>
      <c r="L7" s="183">
        <f>'RZIS '!L18</f>
        <v>5079232.3999999994</v>
      </c>
      <c r="M7" s="37">
        <f>'RZIS '!M18</f>
        <v>3804241.7899999944</v>
      </c>
      <c r="N7" s="64">
        <v>5669108.75</v>
      </c>
      <c r="O7" s="37">
        <v>13837954</v>
      </c>
      <c r="P7" s="183">
        <v>2985020.21</v>
      </c>
      <c r="Q7" s="63">
        <v>13536853.609999999</v>
      </c>
      <c r="R7" s="64">
        <v>16265979.529999999</v>
      </c>
      <c r="S7" s="63">
        <v>17723515.600000001</v>
      </c>
      <c r="T7" s="69">
        <v>6560341.2800000003</v>
      </c>
      <c r="U7" s="63">
        <v>5627120.1100000003</v>
      </c>
      <c r="V7" s="64">
        <v>10590304.25</v>
      </c>
      <c r="W7" s="63">
        <v>11784139.609999999</v>
      </c>
      <c r="X7" s="69">
        <v>5046721.43</v>
      </c>
      <c r="Y7" s="63">
        <v>6009270.0899999999</v>
      </c>
      <c r="Z7" s="64">
        <v>5695036.3099999996</v>
      </c>
      <c r="AA7" s="63">
        <v>7450125.9299999997</v>
      </c>
      <c r="AB7" s="64">
        <v>4196060.5599999996</v>
      </c>
    </row>
    <row r="8" spans="1:28" ht="27.95" customHeight="1">
      <c r="A8" s="26" t="s">
        <v>84</v>
      </c>
      <c r="B8" s="64">
        <f>SUM(B9:B22)</f>
        <v>-8623337.8600000031</v>
      </c>
      <c r="C8" s="37">
        <f>SUM(C9:C22)</f>
        <v>-13149745.918924164</v>
      </c>
      <c r="D8" s="183">
        <f t="shared" ref="D8" si="0">SUM(D9:D22)</f>
        <v>-21776552.610485788</v>
      </c>
      <c r="E8" s="37">
        <f t="shared" ref="E8" si="1">SUM(E9:E22)</f>
        <v>1200665.9521243491</v>
      </c>
      <c r="F8" s="64">
        <f t="shared" ref="F8" si="2">SUM(F9:F22)</f>
        <v>-15646032.559811153</v>
      </c>
      <c r="G8" s="37">
        <f t="shared" ref="G8" si="3">SUM(G9:G22)</f>
        <v>-11275027.985507622</v>
      </c>
      <c r="H8" s="183">
        <f t="shared" ref="H8" si="4">SUM(H9:H22)</f>
        <v>-16130436.953846702</v>
      </c>
      <c r="I8" s="37">
        <f t="shared" ref="I8" si="5">SUM(I9:I22)</f>
        <v>8503582.6455798894</v>
      </c>
      <c r="J8" s="64">
        <f t="shared" ref="J8:O8" si="6">SUM(J9:J22)</f>
        <v>-8809643.487558363</v>
      </c>
      <c r="K8" s="37">
        <f t="shared" si="6"/>
        <v>-9812883.0800000019</v>
      </c>
      <c r="L8" s="183">
        <f t="shared" si="6"/>
        <v>-18353590.370000005</v>
      </c>
      <c r="M8" s="37">
        <f t="shared" si="6"/>
        <v>1683862.7700000014</v>
      </c>
      <c r="N8" s="64">
        <f t="shared" si="6"/>
        <v>-15310270.859999999</v>
      </c>
      <c r="O8" s="37">
        <f t="shared" si="6"/>
        <v>-29243753.660000004</v>
      </c>
      <c r="P8" s="183">
        <v>-17862865.559999999</v>
      </c>
      <c r="Q8" s="63">
        <v>970513.76</v>
      </c>
      <c r="R8" s="64">
        <v>-7696544.0300000003</v>
      </c>
      <c r="S8" s="63">
        <v>-10573467.109999999</v>
      </c>
      <c r="T8" s="69">
        <v>-10032338.119999999</v>
      </c>
      <c r="U8" s="63">
        <v>3258571.95</v>
      </c>
      <c r="V8" s="64">
        <v>887550.19</v>
      </c>
      <c r="W8" s="63">
        <v>-1249122.67</v>
      </c>
      <c r="X8" s="69">
        <v>-8729259.1799999997</v>
      </c>
      <c r="Y8" s="63">
        <v>-2830209.2</v>
      </c>
      <c r="Z8" s="64">
        <v>-2450345.02</v>
      </c>
      <c r="AA8" s="63">
        <v>-4377281.8600000003</v>
      </c>
      <c r="AB8" s="64">
        <v>-10384205.35</v>
      </c>
    </row>
    <row r="9" spans="1:28" ht="27.95" customHeight="1">
      <c r="A9" s="155" t="s">
        <v>173</v>
      </c>
      <c r="B9" s="35">
        <v>298632.31</v>
      </c>
      <c r="C9" s="34">
        <v>36198.76</v>
      </c>
      <c r="D9" s="159">
        <v>30864.7</v>
      </c>
      <c r="E9" s="34">
        <v>116906.03</v>
      </c>
      <c r="F9" s="35">
        <v>309765.46999999997</v>
      </c>
      <c r="G9" s="34">
        <v>-177020.71000000002</v>
      </c>
      <c r="H9" s="159">
        <v>-157499.11680000013</v>
      </c>
      <c r="I9" s="34">
        <v>-356776.83130000031</v>
      </c>
      <c r="J9" s="35">
        <v>-408293.47000000003</v>
      </c>
      <c r="K9" s="34">
        <f>-'RZIS '!K17</f>
        <v>-395824.26</v>
      </c>
      <c r="L9" s="159">
        <v>-160626.13</v>
      </c>
      <c r="M9" s="34">
        <v>-90520.99</v>
      </c>
      <c r="N9" s="35">
        <v>-45353.27</v>
      </c>
      <c r="O9" s="34">
        <v>-78944.19</v>
      </c>
      <c r="P9" s="159">
        <v>56772.26</v>
      </c>
      <c r="Q9" s="34">
        <v>359696.64000000001</v>
      </c>
      <c r="R9" s="35">
        <v>-20782.689999999999</v>
      </c>
      <c r="S9" s="34">
        <v>-20782.689999999999</v>
      </c>
      <c r="T9" s="59">
        <v>0</v>
      </c>
      <c r="U9" s="34">
        <v>76731.539999999994</v>
      </c>
      <c r="V9" s="35">
        <v>38203.56</v>
      </c>
      <c r="W9" s="34">
        <v>38203.56</v>
      </c>
      <c r="X9" s="59"/>
      <c r="Y9" s="34">
        <v>63595.78</v>
      </c>
      <c r="Z9" s="35">
        <v>32852.46</v>
      </c>
      <c r="AA9" s="34">
        <v>32852.46</v>
      </c>
      <c r="AB9" s="35">
        <v>0</v>
      </c>
    </row>
    <row r="10" spans="1:28" ht="27.95" customHeight="1">
      <c r="A10" s="27" t="s">
        <v>5</v>
      </c>
      <c r="B10" s="62">
        <v>9700614.8699999992</v>
      </c>
      <c r="C10" s="34">
        <v>6450747.4199999999</v>
      </c>
      <c r="D10" s="159">
        <v>3210557.4899999998</v>
      </c>
      <c r="E10" s="34">
        <v>12166020.660000002</v>
      </c>
      <c r="F10" s="62">
        <v>8978255.3499999996</v>
      </c>
      <c r="G10" s="34">
        <v>5887684.6500000004</v>
      </c>
      <c r="H10" s="159">
        <v>2924383.85</v>
      </c>
      <c r="I10" s="34">
        <v>11118742.079999998</v>
      </c>
      <c r="J10" s="62">
        <v>8214467.8499999987</v>
      </c>
      <c r="K10" s="34">
        <v>5402195.3799999999</v>
      </c>
      <c r="L10" s="159">
        <v>2656756.56</v>
      </c>
      <c r="M10" s="34">
        <v>10252491.57</v>
      </c>
      <c r="N10" s="62">
        <v>7317821.8300000001</v>
      </c>
      <c r="O10" s="34">
        <v>4618426.26</v>
      </c>
      <c r="P10" s="159">
        <v>2196372.7000000002</v>
      </c>
      <c r="Q10" s="61">
        <v>8450648.25</v>
      </c>
      <c r="R10" s="62">
        <v>6264847.0999999996</v>
      </c>
      <c r="S10" s="61">
        <v>4044210.84</v>
      </c>
      <c r="T10" s="70">
        <v>1976224.55</v>
      </c>
      <c r="U10" s="61">
        <v>7539705.6100000003</v>
      </c>
      <c r="V10" s="62">
        <v>5687527.5800000001</v>
      </c>
      <c r="W10" s="61">
        <v>3691139.03</v>
      </c>
      <c r="X10" s="70">
        <v>1816935.48</v>
      </c>
      <c r="Y10" s="61">
        <v>7339447.5700000003</v>
      </c>
      <c r="Z10" s="62">
        <v>5467993.4000000004</v>
      </c>
      <c r="AA10" s="61">
        <v>3618135.23</v>
      </c>
      <c r="AB10" s="62">
        <v>1799243.09</v>
      </c>
    </row>
    <row r="11" spans="1:28" ht="27.95" customHeight="1">
      <c r="A11" s="27" t="s">
        <v>85</v>
      </c>
      <c r="B11" s="62">
        <v>101775.86</v>
      </c>
      <c r="C11" s="34">
        <v>351904.67999999993</v>
      </c>
      <c r="D11" s="159">
        <v>59927.039999999972</v>
      </c>
      <c r="E11" s="34">
        <v>-554003.34</v>
      </c>
      <c r="F11" s="62">
        <v>-537494.52</v>
      </c>
      <c r="G11" s="34">
        <v>-459486.40000000008</v>
      </c>
      <c r="H11" s="159">
        <v>-377937.62000000011</v>
      </c>
      <c r="I11" s="34">
        <v>422720.54</v>
      </c>
      <c r="J11" s="62">
        <v>119470.71999999997</v>
      </c>
      <c r="K11" s="34">
        <v>656622.71</v>
      </c>
      <c r="L11" s="159">
        <v>-192375.39</v>
      </c>
      <c r="M11" s="34">
        <v>210015.31</v>
      </c>
      <c r="N11" s="62">
        <v>153111.79999999999</v>
      </c>
      <c r="O11" s="34">
        <v>31089.53</v>
      </c>
      <c r="P11" s="159">
        <v>-225760.66</v>
      </c>
      <c r="Q11" s="61">
        <v>480410.89</v>
      </c>
      <c r="R11" s="62">
        <v>187736.04</v>
      </c>
      <c r="S11" s="61">
        <v>-55105.43</v>
      </c>
      <c r="T11" s="70">
        <v>6762.85</v>
      </c>
      <c r="U11" s="61">
        <v>52309.79</v>
      </c>
      <c r="V11" s="62">
        <v>6282.12</v>
      </c>
      <c r="W11" s="61">
        <v>29373.48</v>
      </c>
      <c r="X11" s="70">
        <v>18374.52</v>
      </c>
      <c r="Y11" s="61">
        <v>-2910.68</v>
      </c>
      <c r="Z11" s="62">
        <v>16148.75</v>
      </c>
      <c r="AA11" s="61">
        <v>14734.09</v>
      </c>
      <c r="AB11" s="62">
        <v>12017.91</v>
      </c>
    </row>
    <row r="12" spans="1:28" ht="27.95" customHeight="1">
      <c r="A12" s="27" t="s">
        <v>86</v>
      </c>
      <c r="B12" s="62">
        <v>1807581.07</v>
      </c>
      <c r="C12" s="34">
        <v>1306110.9999999998</v>
      </c>
      <c r="D12" s="159">
        <v>678471.27</v>
      </c>
      <c r="E12" s="34">
        <v>1810364.7300000002</v>
      </c>
      <c r="F12" s="62">
        <v>1519081.7400000002</v>
      </c>
      <c r="G12" s="34">
        <v>1163216.99</v>
      </c>
      <c r="H12" s="159">
        <v>539192.04999999993</v>
      </c>
      <c r="I12" s="34">
        <v>1527317.8600000003</v>
      </c>
      <c r="J12" s="62">
        <v>1412729.1199999999</v>
      </c>
      <c r="K12" s="34">
        <v>1064691.55</v>
      </c>
      <c r="L12" s="159">
        <v>488807.74</v>
      </c>
      <c r="M12" s="34">
        <v>1973361.87</v>
      </c>
      <c r="N12" s="62">
        <v>1416150.96</v>
      </c>
      <c r="O12" s="34">
        <v>1074625.44</v>
      </c>
      <c r="P12" s="159">
        <v>555198.89</v>
      </c>
      <c r="Q12" s="61">
        <v>2198713.44</v>
      </c>
      <c r="R12" s="62">
        <v>1556050.43</v>
      </c>
      <c r="S12" s="61">
        <v>1312863.27</v>
      </c>
      <c r="T12" s="70">
        <v>622731.99</v>
      </c>
      <c r="U12" s="61">
        <v>2526561.4900000002</v>
      </c>
      <c r="V12" s="62">
        <v>1855621.16</v>
      </c>
      <c r="W12" s="61">
        <v>1479678.1</v>
      </c>
      <c r="X12" s="70">
        <v>745362.74</v>
      </c>
      <c r="Y12" s="61">
        <v>3757621.24</v>
      </c>
      <c r="Z12" s="62">
        <v>2755753.31</v>
      </c>
      <c r="AA12" s="61">
        <v>1859607.95</v>
      </c>
      <c r="AB12" s="62">
        <v>881365.01</v>
      </c>
    </row>
    <row r="13" spans="1:28" ht="27.95" customHeight="1">
      <c r="A13" s="27" t="s">
        <v>186</v>
      </c>
      <c r="B13" s="62">
        <v>54113.77</v>
      </c>
      <c r="C13" s="34">
        <v>13068.370000000112</v>
      </c>
      <c r="D13" s="159">
        <v>-18716.319999999963</v>
      </c>
      <c r="E13" s="34">
        <v>279555.93000000028</v>
      </c>
      <c r="F13" s="62">
        <v>178831.34</v>
      </c>
      <c r="G13" s="34">
        <v>177979.67000000013</v>
      </c>
      <c r="H13" s="159">
        <v>173255.99000000008</v>
      </c>
      <c r="I13" s="34">
        <v>247621.23000000094</v>
      </c>
      <c r="J13" s="62">
        <v>178396.93999999997</v>
      </c>
      <c r="K13" s="34">
        <v>11686.12</v>
      </c>
      <c r="L13" s="159">
        <v>60270.400000000001</v>
      </c>
      <c r="M13" s="34">
        <v>-5453754.0499999998</v>
      </c>
      <c r="N13" s="62">
        <v>-6200834.4699999997</v>
      </c>
      <c r="O13" s="34">
        <v>-6223855.1100000003</v>
      </c>
      <c r="P13" s="159">
        <v>-2859.94</v>
      </c>
      <c r="Q13" s="61">
        <v>-3153098.56</v>
      </c>
      <c r="R13" s="62">
        <v>-855313.7</v>
      </c>
      <c r="S13" s="61">
        <v>-1621224.39</v>
      </c>
      <c r="T13" s="70">
        <v>-667962.05000000005</v>
      </c>
      <c r="U13" s="61">
        <v>999035.68</v>
      </c>
      <c r="V13" s="62">
        <v>727121.57</v>
      </c>
      <c r="W13" s="61">
        <v>47806.93</v>
      </c>
      <c r="X13" s="70">
        <v>1120729.8999999999</v>
      </c>
      <c r="Y13" s="61">
        <v>-1119761.43</v>
      </c>
      <c r="Z13" s="62">
        <v>-474014.77</v>
      </c>
      <c r="AA13" s="61">
        <v>-447400.69</v>
      </c>
      <c r="AB13" s="62">
        <v>4582.07</v>
      </c>
    </row>
    <row r="14" spans="1:28" ht="27.95" customHeight="1">
      <c r="A14" s="27" t="s">
        <v>87</v>
      </c>
      <c r="B14" s="62">
        <v>132772.84</v>
      </c>
      <c r="C14" s="34">
        <v>147884.80000000002</v>
      </c>
      <c r="D14" s="159">
        <v>9484.8000000000011</v>
      </c>
      <c r="E14" s="34">
        <v>-526337.30000000005</v>
      </c>
      <c r="F14" s="62">
        <v>-525195.76</v>
      </c>
      <c r="G14" s="34">
        <v>-610049.17000000004</v>
      </c>
      <c r="H14" s="159">
        <v>0</v>
      </c>
      <c r="I14" s="34">
        <v>0</v>
      </c>
      <c r="J14" s="62">
        <v>0</v>
      </c>
      <c r="K14" s="34">
        <v>0</v>
      </c>
      <c r="L14" s="159">
        <v>0</v>
      </c>
      <c r="M14" s="34">
        <v>-353041.35</v>
      </c>
      <c r="N14" s="62">
        <v>-353041.35</v>
      </c>
      <c r="O14" s="34">
        <v>-353041.35</v>
      </c>
      <c r="P14" s="159">
        <v>-353041.35</v>
      </c>
      <c r="Q14" s="61">
        <v>-860326.91</v>
      </c>
      <c r="R14" s="62">
        <v>-506149.83</v>
      </c>
      <c r="S14" s="61">
        <v>-206155.77</v>
      </c>
      <c r="T14" s="70">
        <v>-35387.120000000003</v>
      </c>
      <c r="U14" s="61">
        <v>-48609.35</v>
      </c>
      <c r="V14" s="62">
        <v>93289.47</v>
      </c>
      <c r="W14" s="61">
        <v>-50945.55</v>
      </c>
      <c r="X14" s="70">
        <v>-50127.89</v>
      </c>
      <c r="Y14" s="61">
        <v>30446.400000000001</v>
      </c>
      <c r="Z14" s="62">
        <v>22790.95</v>
      </c>
      <c r="AA14" s="61">
        <v>22790.95</v>
      </c>
      <c r="AB14" s="62">
        <v>20442.89</v>
      </c>
    </row>
    <row r="15" spans="1:28" ht="27.95" customHeight="1">
      <c r="A15" s="27" t="s">
        <v>88</v>
      </c>
      <c r="B15" s="62">
        <v>-334621.34000000003</v>
      </c>
      <c r="C15" s="34">
        <v>-291164.65999999963</v>
      </c>
      <c r="D15" s="159">
        <v>-203873.22999999984</v>
      </c>
      <c r="E15" s="34">
        <v>780542.7</v>
      </c>
      <c r="F15" s="62">
        <v>78103.300000000061</v>
      </c>
      <c r="G15" s="34">
        <v>12876.63000000005</v>
      </c>
      <c r="H15" s="159">
        <v>60831.429999999964</v>
      </c>
      <c r="I15" s="34">
        <v>124137.82000000007</v>
      </c>
      <c r="J15" s="62">
        <v>200551.40999999995</v>
      </c>
      <c r="K15" s="34">
        <v>15369.67</v>
      </c>
      <c r="L15" s="159">
        <v>65168.18</v>
      </c>
      <c r="M15" s="34">
        <v>304600.89</v>
      </c>
      <c r="N15" s="62">
        <v>35189.14</v>
      </c>
      <c r="O15" s="34">
        <v>-31077.73</v>
      </c>
      <c r="P15" s="159">
        <v>-156434.42000000001</v>
      </c>
      <c r="Q15" s="61">
        <v>248947.56</v>
      </c>
      <c r="R15" s="62">
        <v>-18427.919999999998</v>
      </c>
      <c r="S15" s="61">
        <v>-485813.39</v>
      </c>
      <c r="T15" s="70">
        <v>-58709.58</v>
      </c>
      <c r="U15" s="61">
        <v>-770474.56</v>
      </c>
      <c r="V15" s="62">
        <v>-417486.7</v>
      </c>
      <c r="W15" s="61">
        <v>-600434.80000000005</v>
      </c>
      <c r="X15" s="70">
        <v>-488466.38</v>
      </c>
      <c r="Y15" s="61">
        <v>-722909.79</v>
      </c>
      <c r="Z15" s="62">
        <v>-298032.44</v>
      </c>
      <c r="AA15" s="61">
        <v>-456316.73</v>
      </c>
      <c r="AB15" s="62">
        <v>218899.77</v>
      </c>
    </row>
    <row r="16" spans="1:28" ht="27.95" customHeight="1">
      <c r="A16" s="27" t="s">
        <v>89</v>
      </c>
      <c r="B16" s="62">
        <v>15108137.52</v>
      </c>
      <c r="C16" s="34">
        <v>10830283.411075836</v>
      </c>
      <c r="D16" s="159">
        <v>2761891.6395142232</v>
      </c>
      <c r="E16" s="34">
        <v>-12762536.307875656</v>
      </c>
      <c r="F16" s="62">
        <v>-7171357.4998111529</v>
      </c>
      <c r="G16" s="34">
        <v>-5633288.6355076171</v>
      </c>
      <c r="H16" s="159">
        <v>-3856518.8770467048</v>
      </c>
      <c r="I16" s="34">
        <v>8564477.6868798919</v>
      </c>
      <c r="J16" s="62">
        <v>3718321.9524416365</v>
      </c>
      <c r="K16" s="34">
        <v>9536287.2699999996</v>
      </c>
      <c r="L16" s="159">
        <v>2442460.2200000002</v>
      </c>
      <c r="M16" s="34">
        <v>1824556.26</v>
      </c>
      <c r="N16" s="62">
        <v>5346931.8600000003</v>
      </c>
      <c r="O16" s="34">
        <v>2829229.31</v>
      </c>
      <c r="P16" s="159">
        <v>-8651069.3399999999</v>
      </c>
      <c r="Q16" s="61">
        <v>-6496325.0800000001</v>
      </c>
      <c r="R16" s="62">
        <v>-274409.40999999997</v>
      </c>
      <c r="S16" s="61">
        <v>3466652.23</v>
      </c>
      <c r="T16" s="70">
        <v>-1142965.47</v>
      </c>
      <c r="U16" s="61">
        <v>-10197257.66</v>
      </c>
      <c r="V16" s="62">
        <v>469843.61</v>
      </c>
      <c r="W16" s="61">
        <v>3036883.5</v>
      </c>
      <c r="X16" s="70">
        <v>-7974130.5</v>
      </c>
      <c r="Y16" s="61">
        <v>-2570976.29</v>
      </c>
      <c r="Z16" s="62">
        <v>2898341.9</v>
      </c>
      <c r="AA16" s="61">
        <v>5268526.9000000004</v>
      </c>
      <c r="AB16" s="62">
        <v>-3536940.73</v>
      </c>
    </row>
    <row r="17" spans="1:28" ht="27.95" customHeight="1">
      <c r="A17" s="27" t="s">
        <v>90</v>
      </c>
      <c r="B17" s="62">
        <f>-15211196.88--0.01</f>
        <v>-15211196.870000001</v>
      </c>
      <c r="C17" s="34">
        <v>-25235027.149999999</v>
      </c>
      <c r="D17" s="159">
        <v>-31281071.640000001</v>
      </c>
      <c r="E17" s="34">
        <v>-3650928.6900000013</v>
      </c>
      <c r="F17" s="62">
        <v>-10344636.569999998</v>
      </c>
      <c r="G17" s="34">
        <v>-16902878</v>
      </c>
      <c r="H17" s="159">
        <v>-23898594.719999999</v>
      </c>
      <c r="I17" s="34">
        <v>-11116423.57</v>
      </c>
      <c r="J17" s="62">
        <v>-15734311.949999994</v>
      </c>
      <c r="K17" s="34">
        <v>-35300729.109999999</v>
      </c>
      <c r="L17" s="159">
        <v>-35568049.939999998</v>
      </c>
      <c r="M17" s="34">
        <v>-351915.83</v>
      </c>
      <c r="N17" s="62">
        <v>-17242971.390000001</v>
      </c>
      <c r="O17" s="34">
        <v>-30248641.170000002</v>
      </c>
      <c r="P17" s="159">
        <v>-32448284.640000001</v>
      </c>
      <c r="Q17" s="61">
        <v>-11161704.789999999</v>
      </c>
      <c r="R17" s="62">
        <v>-19780399.050000001</v>
      </c>
      <c r="S17" s="61">
        <v>-31765662.210000001</v>
      </c>
      <c r="T17" s="70">
        <v>-33810521.850000001</v>
      </c>
      <c r="U17" s="61">
        <v>168334.28</v>
      </c>
      <c r="V17" s="62">
        <v>-3490358.23</v>
      </c>
      <c r="W17" s="61">
        <v>-17785432.170000002</v>
      </c>
      <c r="X17" s="70">
        <v>-25950078.899999999</v>
      </c>
      <c r="Y17" s="61">
        <v>-5182683.13</v>
      </c>
      <c r="Z17" s="62">
        <v>-5354825.88</v>
      </c>
      <c r="AA17" s="61">
        <v>-22339407.440000001</v>
      </c>
      <c r="AB17" s="62">
        <v>-17562976.449999999</v>
      </c>
    </row>
    <row r="18" spans="1:28" ht="27.95" customHeight="1">
      <c r="A18" s="27" t="s">
        <v>91</v>
      </c>
      <c r="B18" s="62">
        <v>-19427555.890000001</v>
      </c>
      <c r="C18" s="34">
        <v>-5614962.5499999998</v>
      </c>
      <c r="D18" s="159">
        <v>3335990.8799999952</v>
      </c>
      <c r="E18" s="34">
        <v>5760382.7900000056</v>
      </c>
      <c r="F18" s="62">
        <v>-6458659.9799999949</v>
      </c>
      <c r="G18" s="34">
        <v>6436484.3600000013</v>
      </c>
      <c r="H18" s="159">
        <v>8942315.540000001</v>
      </c>
      <c r="I18" s="34">
        <v>-97632.790000002191</v>
      </c>
      <c r="J18" s="62">
        <v>-3969179.800000004</v>
      </c>
      <c r="K18" s="34">
        <v>10397696.560000001</v>
      </c>
      <c r="L18" s="159">
        <v>12832297.51</v>
      </c>
      <c r="M18" s="34">
        <v>-4142769.95</v>
      </c>
      <c r="N18" s="62">
        <v>-5414516.7199999997</v>
      </c>
      <c r="O18" s="34">
        <v>1692590.29</v>
      </c>
      <c r="P18" s="159">
        <v>22423105.09</v>
      </c>
      <c r="Q18" s="61">
        <v>15407875.939999999</v>
      </c>
      <c r="R18" s="62">
        <v>6967877.9900000002</v>
      </c>
      <c r="S18" s="61">
        <v>15716857.33</v>
      </c>
      <c r="T18" s="70">
        <v>23984697.82</v>
      </c>
      <c r="U18" s="61">
        <v>4454849.71</v>
      </c>
      <c r="V18" s="62">
        <v>-2889105.21</v>
      </c>
      <c r="W18" s="61">
        <v>8408956.2100000009</v>
      </c>
      <c r="X18" s="70">
        <v>22627225.739999998</v>
      </c>
      <c r="Y18" s="61">
        <v>-3372612.86</v>
      </c>
      <c r="Z18" s="62">
        <v>-5228088.12</v>
      </c>
      <c r="AA18" s="61">
        <v>9911520.7799999993</v>
      </c>
      <c r="AB18" s="62">
        <v>8587261.3699999992</v>
      </c>
    </row>
    <row r="19" spans="1:28" ht="27.95" customHeight="1">
      <c r="A19" s="27" t="s">
        <v>134</v>
      </c>
      <c r="B19" s="62">
        <v>-890085</v>
      </c>
      <c r="C19" s="34">
        <v>-1144790</v>
      </c>
      <c r="D19" s="159">
        <v>-313801</v>
      </c>
      <c r="E19" s="34">
        <v>-1140386</v>
      </c>
      <c r="F19" s="62">
        <v>-815279</v>
      </c>
      <c r="G19" s="34">
        <v>-716592</v>
      </c>
      <c r="H19" s="159">
        <v>0</v>
      </c>
      <c r="I19" s="34">
        <v>-1773725.67</v>
      </c>
      <c r="J19" s="62">
        <v>-1374031.67</v>
      </c>
      <c r="K19" s="34">
        <v>-990184.67</v>
      </c>
      <c r="L19" s="159">
        <v>-873390.67</v>
      </c>
      <c r="M19" s="34">
        <v>-903030.33</v>
      </c>
      <c r="N19" s="62">
        <v>-1689427</v>
      </c>
      <c r="O19" s="34">
        <v>-1489569</v>
      </c>
      <c r="P19" s="159">
        <v>-1137656</v>
      </c>
      <c r="Q19" s="61">
        <v>-1085083</v>
      </c>
      <c r="R19" s="62">
        <v>-472042.5</v>
      </c>
      <c r="S19" s="61">
        <v>-1073995</v>
      </c>
      <c r="T19" s="70">
        <v>-861084</v>
      </c>
      <c r="U19" s="61">
        <v>-1090631.6299999999</v>
      </c>
      <c r="V19" s="62">
        <v>-1120491.52</v>
      </c>
      <c r="W19" s="61">
        <v>-73837</v>
      </c>
      <c r="X19" s="70">
        <v>-674171</v>
      </c>
      <c r="Y19" s="61">
        <v>-1291814</v>
      </c>
      <c r="Z19" s="62">
        <v>-1934888.18</v>
      </c>
      <c r="AA19" s="61">
        <v>-1844741.51</v>
      </c>
      <c r="AB19" s="62">
        <v>-831667.29</v>
      </c>
    </row>
    <row r="20" spans="1:28" ht="27.95" customHeight="1">
      <c r="A20" s="27" t="s">
        <v>135</v>
      </c>
      <c r="B20" s="62">
        <v>0</v>
      </c>
      <c r="C20" s="457">
        <v>0</v>
      </c>
      <c r="D20" s="159">
        <v>0</v>
      </c>
      <c r="E20" s="34">
        <v>-293187.30999999959</v>
      </c>
      <c r="F20" s="62">
        <v>-187285</v>
      </c>
      <c r="G20" s="34">
        <v>-187285</v>
      </c>
      <c r="H20" s="159">
        <v>-295407</v>
      </c>
      <c r="I20" s="34">
        <v>0</v>
      </c>
      <c r="J20" s="62">
        <v>0</v>
      </c>
      <c r="K20" s="34">
        <v>0</v>
      </c>
      <c r="L20" s="159">
        <v>0</v>
      </c>
      <c r="M20" s="34">
        <v>-730483.42</v>
      </c>
      <c r="N20" s="62">
        <v>-448000</v>
      </c>
      <c r="O20" s="34">
        <v>-448000</v>
      </c>
      <c r="P20" s="159">
        <v>0</v>
      </c>
      <c r="Q20" s="61">
        <v>102600</v>
      </c>
      <c r="R20" s="62">
        <v>102600</v>
      </c>
      <c r="S20" s="61">
        <v>102600</v>
      </c>
      <c r="T20" s="70">
        <v>0</v>
      </c>
      <c r="U20" s="61">
        <v>213000</v>
      </c>
      <c r="V20" s="62">
        <v>213000</v>
      </c>
      <c r="W20" s="61">
        <v>213000</v>
      </c>
      <c r="X20" s="70">
        <v>0</v>
      </c>
      <c r="Y20" s="61">
        <v>0</v>
      </c>
      <c r="Z20" s="62">
        <v>0</v>
      </c>
      <c r="AA20" s="61">
        <v>0</v>
      </c>
      <c r="AB20" s="62">
        <v>0</v>
      </c>
    </row>
    <row r="21" spans="1:28" ht="27.95" customHeight="1">
      <c r="A21" s="27" t="s">
        <v>174</v>
      </c>
      <c r="B21" s="62">
        <v>0</v>
      </c>
      <c r="C21" s="34">
        <v>0</v>
      </c>
      <c r="D21" s="159">
        <v>0</v>
      </c>
      <c r="E21" s="34"/>
      <c r="F21" s="62"/>
      <c r="G21" s="34">
        <v>0</v>
      </c>
      <c r="H21" s="159">
        <v>0</v>
      </c>
      <c r="I21" s="34">
        <v>0</v>
      </c>
      <c r="J21" s="62">
        <v>0</v>
      </c>
      <c r="K21" s="34">
        <v>0</v>
      </c>
      <c r="L21" s="159">
        <v>0</v>
      </c>
      <c r="M21" s="34">
        <v>0</v>
      </c>
      <c r="N21" s="62">
        <v>2551802.81</v>
      </c>
      <c r="O21" s="34"/>
      <c r="P21" s="159"/>
      <c r="Q21" s="61">
        <v>-2551802.81</v>
      </c>
      <c r="R21" s="62"/>
      <c r="S21" s="61"/>
      <c r="T21" s="70">
        <v>0</v>
      </c>
      <c r="U21" s="61">
        <v>0</v>
      </c>
      <c r="V21" s="62"/>
      <c r="W21" s="61"/>
      <c r="X21" s="70"/>
      <c r="Y21" s="61"/>
      <c r="Z21" s="62"/>
      <c r="AA21" s="61"/>
      <c r="AB21" s="62"/>
    </row>
    <row r="22" spans="1:28" ht="27.95" customHeight="1">
      <c r="A22" s="27" t="s">
        <v>92</v>
      </c>
      <c r="B22" s="62">
        <v>36493</v>
      </c>
      <c r="C22" s="34">
        <v>0</v>
      </c>
      <c r="D22" s="159">
        <v>-46278.240000007449</v>
      </c>
      <c r="E22" s="34">
        <v>-785727.94000000018</v>
      </c>
      <c r="F22" s="62">
        <v>-670161.43000000669</v>
      </c>
      <c r="G22" s="34">
        <v>-266670.37000000663</v>
      </c>
      <c r="H22" s="159">
        <v>-184458.48</v>
      </c>
      <c r="I22" s="34">
        <v>-156875.7099999999</v>
      </c>
      <c r="J22" s="62">
        <v>-1167764.5900000001</v>
      </c>
      <c r="K22" s="34">
        <v>-210694.3</v>
      </c>
      <c r="L22" s="159">
        <v>-104908.85</v>
      </c>
      <c r="M22" s="34">
        <v>-855647.21</v>
      </c>
      <c r="N22" s="62">
        <v>-737135.06</v>
      </c>
      <c r="O22" s="34">
        <v>-616585.93999999994</v>
      </c>
      <c r="P22" s="159">
        <v>-119208.15</v>
      </c>
      <c r="Q22" s="61">
        <v>-970037.81</v>
      </c>
      <c r="R22" s="62">
        <v>-848130.49</v>
      </c>
      <c r="S22" s="61">
        <v>12088.1</v>
      </c>
      <c r="T22" s="70">
        <v>-46125.26</v>
      </c>
      <c r="U22" s="61">
        <v>-664982.94999999995</v>
      </c>
      <c r="V22" s="62">
        <v>-285897.21999999997</v>
      </c>
      <c r="W22" s="61">
        <v>316486.03999999998</v>
      </c>
      <c r="X22" s="70">
        <v>79087.11</v>
      </c>
      <c r="Y22" s="61">
        <v>242347.99</v>
      </c>
      <c r="Z22" s="62">
        <v>-354376.4</v>
      </c>
      <c r="AA22" s="61">
        <v>-65977.87</v>
      </c>
      <c r="AB22" s="62">
        <v>-630</v>
      </c>
    </row>
    <row r="23" spans="1:28" ht="27.95" customHeight="1">
      <c r="A23" s="26" t="s">
        <v>93</v>
      </c>
      <c r="B23" s="64">
        <f>SUM(B7:B8)</f>
        <v>-5813311.7700000033</v>
      </c>
      <c r="C23" s="37">
        <f t="shared" ref="C23:D23" si="7">SUM(C7:C8)</f>
        <v>-6265114.3999999948</v>
      </c>
      <c r="D23" s="183">
        <f t="shared" si="7"/>
        <v>-13949911.210000003</v>
      </c>
      <c r="E23" s="37">
        <f t="shared" ref="E23" si="8">SUM(E7:E8)</f>
        <v>5572620.2600000119</v>
      </c>
      <c r="F23" s="64">
        <f t="shared" ref="F23" si="9">SUM(F7:F8)</f>
        <v>-9479398.1810000017</v>
      </c>
      <c r="G23" s="37">
        <f t="shared" ref="G23" si="10">SUM(G7:G8)</f>
        <v>-6392732.7655076226</v>
      </c>
      <c r="H23" s="183">
        <f t="shared" ref="H23" si="11">SUM(H7:H8)</f>
        <v>-12048155.289999994</v>
      </c>
      <c r="I23" s="37">
        <f t="shared" ref="I23" si="12">SUM(I7:I8)</f>
        <v>23722401.409999996</v>
      </c>
      <c r="J23" s="64">
        <f t="shared" ref="J23:O23" si="13">SUM(J7:J8)</f>
        <v>28456.319999981672</v>
      </c>
      <c r="K23" s="37">
        <f t="shared" si="13"/>
        <v>2577181.3899999857</v>
      </c>
      <c r="L23" s="183">
        <f t="shared" si="13"/>
        <v>-13274357.970000006</v>
      </c>
      <c r="M23" s="37">
        <f t="shared" si="13"/>
        <v>5488104.5599999959</v>
      </c>
      <c r="N23" s="64">
        <f t="shared" si="13"/>
        <v>-9641162.1099999994</v>
      </c>
      <c r="O23" s="37">
        <f t="shared" si="13"/>
        <v>-15405799.660000004</v>
      </c>
      <c r="P23" s="183">
        <v>-14877845.35</v>
      </c>
      <c r="Q23" s="63">
        <v>14507367.369999999</v>
      </c>
      <c r="R23" s="64">
        <v>8569435.5</v>
      </c>
      <c r="S23" s="63">
        <v>7150048.4900000002</v>
      </c>
      <c r="T23" s="69">
        <v>-3471996.84</v>
      </c>
      <c r="U23" s="63">
        <v>8885692.0600000005</v>
      </c>
      <c r="V23" s="64">
        <v>11405263.41</v>
      </c>
      <c r="W23" s="63">
        <v>10535016.939999999</v>
      </c>
      <c r="X23" s="69">
        <v>-3682537.75</v>
      </c>
      <c r="Y23" s="63">
        <v>3179060.89</v>
      </c>
      <c r="Z23" s="64">
        <v>3244691.29</v>
      </c>
      <c r="AA23" s="63">
        <v>3024450.05</v>
      </c>
      <c r="AB23" s="64">
        <v>-6212341.7999999998</v>
      </c>
    </row>
    <row r="24" spans="1:28" ht="27.95" customHeight="1">
      <c r="A24" s="26"/>
      <c r="B24" s="62"/>
      <c r="C24" s="37"/>
      <c r="D24" s="183"/>
      <c r="E24" s="37"/>
      <c r="F24" s="62"/>
      <c r="G24" s="37"/>
      <c r="H24" s="183"/>
      <c r="I24" s="37"/>
      <c r="J24" s="62"/>
      <c r="K24" s="37"/>
      <c r="L24" s="183"/>
      <c r="M24" s="37"/>
      <c r="N24" s="62"/>
      <c r="O24" s="37"/>
      <c r="P24" s="183"/>
      <c r="Q24" s="61"/>
      <c r="R24" s="62"/>
      <c r="S24" s="61"/>
      <c r="T24" s="70"/>
      <c r="U24" s="61"/>
      <c r="V24" s="62"/>
      <c r="W24" s="61"/>
      <c r="X24" s="70"/>
      <c r="Y24" s="61"/>
      <c r="Z24" s="62"/>
      <c r="AA24" s="61"/>
      <c r="AB24" s="62"/>
    </row>
    <row r="25" spans="1:28" ht="27.95" customHeight="1">
      <c r="A25" s="26" t="s">
        <v>94</v>
      </c>
      <c r="B25" s="62"/>
      <c r="C25" s="37"/>
      <c r="D25" s="183"/>
      <c r="E25" s="37"/>
      <c r="F25" s="62"/>
      <c r="G25" s="37"/>
      <c r="H25" s="183"/>
      <c r="I25" s="37"/>
      <c r="J25" s="62"/>
      <c r="K25" s="37"/>
      <c r="L25" s="183"/>
      <c r="M25" s="37"/>
      <c r="N25" s="62"/>
      <c r="O25" s="37"/>
      <c r="P25" s="183"/>
      <c r="Q25" s="61"/>
      <c r="R25" s="62"/>
      <c r="S25" s="61"/>
      <c r="T25" s="70"/>
      <c r="U25" s="61"/>
      <c r="V25" s="62"/>
      <c r="W25" s="61"/>
      <c r="X25" s="70"/>
      <c r="Y25" s="61"/>
      <c r="Z25" s="62"/>
      <c r="AA25" s="61"/>
      <c r="AB25" s="62"/>
    </row>
    <row r="26" spans="1:28" ht="27.95" customHeight="1">
      <c r="A26" s="27" t="s">
        <v>95</v>
      </c>
      <c r="B26" s="62">
        <v>375047.45</v>
      </c>
      <c r="C26" s="34">
        <v>263662.22000000009</v>
      </c>
      <c r="D26" s="159">
        <v>149954.06</v>
      </c>
      <c r="E26" s="34">
        <v>751372.16</v>
      </c>
      <c r="F26" s="62">
        <v>192173.60000000003</v>
      </c>
      <c r="G26" s="34">
        <v>60188.479999999989</v>
      </c>
      <c r="H26" s="159">
        <v>46589.29000000003</v>
      </c>
      <c r="I26" s="34">
        <v>5850246.1599999992</v>
      </c>
      <c r="J26" s="62">
        <v>6902058.6799999997</v>
      </c>
      <c r="K26" s="34">
        <v>5166583.0199999996</v>
      </c>
      <c r="L26" s="159">
        <v>785250.88</v>
      </c>
      <c r="M26" s="34">
        <v>30036045.469999999</v>
      </c>
      <c r="N26" s="62">
        <v>8841959.9900000002</v>
      </c>
      <c r="O26" s="34">
        <v>29683048.59</v>
      </c>
      <c r="P26" s="159">
        <v>11825000.18</v>
      </c>
      <c r="Q26" s="61">
        <v>11753543.5</v>
      </c>
      <c r="R26" s="62">
        <v>5981225.2000000002</v>
      </c>
      <c r="S26" s="61">
        <v>4801271.18</v>
      </c>
      <c r="T26" s="70">
        <v>757609.89</v>
      </c>
      <c r="U26" s="61">
        <v>2968776.74</v>
      </c>
      <c r="V26" s="62">
        <v>398050.53</v>
      </c>
      <c r="W26" s="61">
        <v>2123265.34</v>
      </c>
      <c r="X26" s="70">
        <v>2109350.27</v>
      </c>
      <c r="Y26" s="61">
        <v>1798488.18</v>
      </c>
      <c r="Z26" s="62">
        <v>1250706.6000000001</v>
      </c>
      <c r="AA26" s="61">
        <v>1250706.6000000001</v>
      </c>
      <c r="AB26" s="62">
        <v>126698.96</v>
      </c>
    </row>
    <row r="27" spans="1:28" ht="27.95" customHeight="1">
      <c r="A27" s="27" t="s">
        <v>142</v>
      </c>
      <c r="B27" s="35">
        <v>-17215326.460000001</v>
      </c>
      <c r="C27" s="34">
        <v>-10390178.909999996</v>
      </c>
      <c r="D27" s="159">
        <v>-8070653.3899999997</v>
      </c>
      <c r="E27" s="34">
        <v>-19839413.76000002</v>
      </c>
      <c r="F27" s="35">
        <v>-11701179.090000026</v>
      </c>
      <c r="G27" s="34">
        <v>-5865135.8900000071</v>
      </c>
      <c r="H27" s="159">
        <v>-2031884.0800000094</v>
      </c>
      <c r="I27" s="34">
        <v>-13274263.999999989</v>
      </c>
      <c r="J27" s="35">
        <v>-10368846.670000006</v>
      </c>
      <c r="K27" s="34">
        <v>-7014549.6299999999</v>
      </c>
      <c r="L27" s="159">
        <v>-2785534.44</v>
      </c>
      <c r="M27" s="34">
        <v>-23782019.460000001</v>
      </c>
      <c r="N27" s="35">
        <v>-13352356.5</v>
      </c>
      <c r="O27" s="34">
        <v>-12027385.25</v>
      </c>
      <c r="P27" s="159">
        <v>-5386410.1900000004</v>
      </c>
      <c r="Q27" s="34">
        <v>-26894966.93</v>
      </c>
      <c r="R27" s="35">
        <v>-19182371.84</v>
      </c>
      <c r="S27" s="34">
        <v>-19094159.949999999</v>
      </c>
      <c r="T27" s="59">
        <v>-9085383.8699999992</v>
      </c>
      <c r="U27" s="34">
        <v>-9154984.3399999999</v>
      </c>
      <c r="V27" s="35">
        <v>-4188625.66</v>
      </c>
      <c r="W27" s="34">
        <v>-3605893.56</v>
      </c>
      <c r="X27" s="59">
        <v>-1578766.29</v>
      </c>
      <c r="Y27" s="34">
        <v>-5396646.3200000003</v>
      </c>
      <c r="Z27" s="35">
        <v>-4021020.3</v>
      </c>
      <c r="AA27" s="34">
        <v>-2729769.67</v>
      </c>
      <c r="AB27" s="35">
        <v>-1065920.06</v>
      </c>
    </row>
    <row r="28" spans="1:28" ht="27.95" customHeight="1">
      <c r="A28" s="27" t="s">
        <v>96</v>
      </c>
      <c r="B28" s="35">
        <v>0</v>
      </c>
      <c r="C28" s="34">
        <v>0</v>
      </c>
      <c r="D28" s="159">
        <v>0</v>
      </c>
      <c r="E28" s="34">
        <v>1550856.81</v>
      </c>
      <c r="F28" s="35">
        <v>1543753.8299999996</v>
      </c>
      <c r="G28" s="34">
        <v>1524897.81</v>
      </c>
      <c r="H28" s="159">
        <v>-2.3283064365386963E-10</v>
      </c>
      <c r="I28" s="34">
        <v>0</v>
      </c>
      <c r="J28" s="35">
        <v>0</v>
      </c>
      <c r="K28" s="34">
        <v>0</v>
      </c>
      <c r="L28" s="159">
        <v>0</v>
      </c>
      <c r="M28" s="34">
        <v>1940254.63</v>
      </c>
      <c r="N28" s="35">
        <v>1940255.63</v>
      </c>
      <c r="O28" s="34">
        <v>1940254.63</v>
      </c>
      <c r="P28" s="159">
        <v>1940273.63</v>
      </c>
      <c r="Q28" s="34">
        <v>5515601.9900000002</v>
      </c>
      <c r="R28" s="35">
        <v>4102369.12</v>
      </c>
      <c r="S28" s="34">
        <v>1669711.28</v>
      </c>
      <c r="T28" s="59">
        <v>324417.90999999997</v>
      </c>
      <c r="U28" s="34">
        <v>2279448.7799999998</v>
      </c>
      <c r="V28" s="35">
        <v>1137916.54</v>
      </c>
      <c r="W28" s="34">
        <v>358249.71</v>
      </c>
      <c r="X28" s="59">
        <v>352442.05</v>
      </c>
      <c r="Y28" s="34">
        <v>410452.31</v>
      </c>
      <c r="Z28" s="35">
        <v>55945.02</v>
      </c>
      <c r="AA28" s="34">
        <v>55945.02</v>
      </c>
      <c r="AB28" s="35">
        <v>51174.1</v>
      </c>
    </row>
    <row r="29" spans="1:28" ht="27.95" customHeight="1">
      <c r="A29" s="27" t="s">
        <v>175</v>
      </c>
      <c r="B29" s="35">
        <v>-1484353.1</v>
      </c>
      <c r="C29" s="34">
        <v>-762353.10000000056</v>
      </c>
      <c r="D29" s="159">
        <v>-24981.5</v>
      </c>
      <c r="E29" s="34">
        <v>-130190.76000000001</v>
      </c>
      <c r="F29" s="35">
        <v>-85749.999999999069</v>
      </c>
      <c r="G29" s="34">
        <v>-55599.999999998836</v>
      </c>
      <c r="H29" s="159">
        <v>-32599.999999998894</v>
      </c>
      <c r="I29" s="34">
        <v>-116366.26999999955</v>
      </c>
      <c r="J29" s="35">
        <v>-1392873.4099999997</v>
      </c>
      <c r="K29" s="34">
        <v>-1188656.8500000001</v>
      </c>
      <c r="L29" s="159">
        <v>-611359.84</v>
      </c>
      <c r="M29" s="34">
        <v>-879089.01</v>
      </c>
      <c r="N29" s="35">
        <v>-394991.23</v>
      </c>
      <c r="O29" s="34">
        <v>-200421.08</v>
      </c>
      <c r="P29" s="159">
        <v>-126974.78</v>
      </c>
      <c r="Q29" s="34">
        <v>-213347.13</v>
      </c>
      <c r="R29" s="35"/>
      <c r="S29" s="34"/>
      <c r="T29" s="59">
        <v>0</v>
      </c>
      <c r="U29" s="34">
        <v>0</v>
      </c>
      <c r="V29" s="35"/>
      <c r="W29" s="34"/>
      <c r="X29" s="59"/>
      <c r="Y29" s="34">
        <v>0</v>
      </c>
      <c r="Z29" s="35"/>
      <c r="AA29" s="34"/>
      <c r="AB29" s="35"/>
    </row>
    <row r="30" spans="1:28" ht="27.95" customHeight="1">
      <c r="A30" s="27" t="s">
        <v>136</v>
      </c>
      <c r="B30" s="35">
        <v>-45000</v>
      </c>
      <c r="C30" s="34">
        <v>-25000</v>
      </c>
      <c r="D30" s="159">
        <v>-20000</v>
      </c>
      <c r="E30" s="34">
        <v>-60149</v>
      </c>
      <c r="F30" s="35">
        <v>-43149</v>
      </c>
      <c r="G30" s="34">
        <v>-37149</v>
      </c>
      <c r="H30" s="159">
        <v>-20149</v>
      </c>
      <c r="I30" s="34">
        <v>-71950.790000021458</v>
      </c>
      <c r="J30" s="35">
        <v>-41275.690000027418</v>
      </c>
      <c r="K30" s="34">
        <v>-36275.69</v>
      </c>
      <c r="L30" s="159">
        <v>-17275.689999999999</v>
      </c>
      <c r="M30" s="34">
        <v>-54156.29</v>
      </c>
      <c r="N30" s="35">
        <v>-54156.29</v>
      </c>
      <c r="O30" s="34">
        <v>-15000</v>
      </c>
      <c r="P30" s="159">
        <v>-15000</v>
      </c>
      <c r="Q30" s="34">
        <v>-870710.51</v>
      </c>
      <c r="R30" s="35">
        <v>-868122.58</v>
      </c>
      <c r="S30" s="34">
        <v>-85383.24</v>
      </c>
      <c r="T30" s="59">
        <v>-112210.88</v>
      </c>
      <c r="U30" s="34">
        <v>-187018.42</v>
      </c>
      <c r="V30" s="35">
        <v>-25534.37</v>
      </c>
      <c r="W30" s="34">
        <v>-25534.37</v>
      </c>
      <c r="X30" s="59">
        <v>0</v>
      </c>
      <c r="Y30" s="34">
        <v>0</v>
      </c>
      <c r="Z30" s="35">
        <v>0</v>
      </c>
      <c r="AA30" s="34">
        <v>0</v>
      </c>
      <c r="AB30" s="35"/>
    </row>
    <row r="31" spans="1:28" ht="27.95" customHeight="1">
      <c r="A31" s="27" t="s">
        <v>137</v>
      </c>
      <c r="B31" s="35">
        <v>0</v>
      </c>
      <c r="C31" s="34">
        <v>0</v>
      </c>
      <c r="D31" s="159">
        <v>0</v>
      </c>
      <c r="E31" s="34"/>
      <c r="F31" s="35"/>
      <c r="G31" s="34">
        <v>0</v>
      </c>
      <c r="H31" s="159">
        <v>0</v>
      </c>
      <c r="I31" s="34">
        <v>0</v>
      </c>
      <c r="J31" s="35">
        <v>0</v>
      </c>
      <c r="K31" s="34">
        <v>0</v>
      </c>
      <c r="L31" s="159">
        <v>0</v>
      </c>
      <c r="M31" s="34">
        <v>1772.06</v>
      </c>
      <c r="N31" s="35">
        <v>0.02</v>
      </c>
      <c r="O31" s="34">
        <v>0.02</v>
      </c>
      <c r="P31" s="159">
        <v>0</v>
      </c>
      <c r="Q31" s="34">
        <v>0</v>
      </c>
      <c r="R31" s="35"/>
      <c r="S31" s="34"/>
      <c r="T31" s="59">
        <v>0</v>
      </c>
      <c r="U31" s="34">
        <v>0</v>
      </c>
      <c r="V31" s="35"/>
      <c r="W31" s="34"/>
      <c r="X31" s="59"/>
      <c r="Y31" s="34">
        <v>27.65</v>
      </c>
      <c r="Z31" s="35">
        <v>27.65</v>
      </c>
      <c r="AA31" s="34">
        <v>27.65</v>
      </c>
      <c r="AB31" s="35"/>
    </row>
    <row r="32" spans="1:28" ht="27.95" customHeight="1">
      <c r="A32" s="27" t="s">
        <v>138</v>
      </c>
      <c r="B32" s="35">
        <v>144130.75</v>
      </c>
      <c r="C32" s="34">
        <v>0</v>
      </c>
      <c r="D32" s="159">
        <v>0</v>
      </c>
      <c r="E32" s="34">
        <v>335288.69</v>
      </c>
      <c r="F32" s="35">
        <v>131367</v>
      </c>
      <c r="G32" s="34">
        <v>0</v>
      </c>
      <c r="H32" s="159">
        <v>0</v>
      </c>
      <c r="I32" s="34">
        <v>170206</v>
      </c>
      <c r="J32" s="35">
        <v>170206</v>
      </c>
      <c r="K32" s="34">
        <v>0</v>
      </c>
      <c r="L32" s="159">
        <v>0</v>
      </c>
      <c r="M32" s="34">
        <v>151294</v>
      </c>
      <c r="N32" s="35">
        <v>151294</v>
      </c>
      <c r="O32" s="34">
        <v>0</v>
      </c>
      <c r="P32" s="159">
        <v>0</v>
      </c>
      <c r="Q32" s="34">
        <v>322694</v>
      </c>
      <c r="R32" s="35">
        <v>322694</v>
      </c>
      <c r="S32" s="34">
        <v>0</v>
      </c>
      <c r="T32" s="59">
        <v>0</v>
      </c>
      <c r="U32" s="34">
        <v>189344.5</v>
      </c>
      <c r="V32" s="35">
        <v>189344.5</v>
      </c>
      <c r="W32" s="34">
        <v>9720</v>
      </c>
      <c r="X32" s="59"/>
      <c r="Y32" s="34">
        <v>4860</v>
      </c>
      <c r="Z32" s="35">
        <v>4860</v>
      </c>
      <c r="AA32" s="34"/>
      <c r="AB32" s="35"/>
    </row>
    <row r="33" spans="1:28" ht="27.95" customHeight="1">
      <c r="A33" s="27" t="s">
        <v>139</v>
      </c>
      <c r="B33" s="35">
        <v>0</v>
      </c>
      <c r="C33" s="34">
        <v>0</v>
      </c>
      <c r="D33" s="159">
        <v>0</v>
      </c>
      <c r="E33" s="34"/>
      <c r="F33" s="35">
        <v>2692200.49</v>
      </c>
      <c r="G33" s="34">
        <v>1287604.1000000001</v>
      </c>
      <c r="H33" s="159">
        <v>0</v>
      </c>
      <c r="I33" s="34">
        <v>722.68000000016002</v>
      </c>
      <c r="J33" s="35">
        <v>722.68000000051654</v>
      </c>
      <c r="K33" s="34">
        <v>0</v>
      </c>
      <c r="L33" s="159">
        <v>722.68</v>
      </c>
      <c r="M33" s="34"/>
      <c r="N33" s="35">
        <v>22258178.030000001</v>
      </c>
      <c r="O33" s="34">
        <v>0</v>
      </c>
      <c r="P33" s="159">
        <v>0</v>
      </c>
      <c r="Q33" s="34">
        <v>54.79</v>
      </c>
      <c r="R33" s="35"/>
      <c r="S33" s="34">
        <v>1730.77</v>
      </c>
      <c r="T33" s="59">
        <v>1830600</v>
      </c>
      <c r="U33" s="34">
        <v>4916619.28</v>
      </c>
      <c r="V33" s="35">
        <v>303193.53999999998</v>
      </c>
      <c r="W33" s="34">
        <v>106960.2</v>
      </c>
      <c r="X33" s="59">
        <v>39461.22</v>
      </c>
      <c r="Y33" s="34">
        <v>274457.43</v>
      </c>
      <c r="Z33" s="35"/>
      <c r="AA33" s="34"/>
      <c r="AB33" s="35"/>
    </row>
    <row r="34" spans="1:28" ht="27.95" customHeight="1">
      <c r="A34" s="27" t="s">
        <v>140</v>
      </c>
      <c r="B34" s="35">
        <v>0</v>
      </c>
      <c r="C34" s="34">
        <v>0</v>
      </c>
      <c r="D34" s="159">
        <v>0</v>
      </c>
      <c r="E34" s="34"/>
      <c r="F34" s="35">
        <v>-266485.65000000002</v>
      </c>
      <c r="G34" s="34">
        <v>0</v>
      </c>
      <c r="H34" s="159">
        <v>0</v>
      </c>
      <c r="I34" s="34">
        <v>0</v>
      </c>
      <c r="J34" s="35">
        <v>0</v>
      </c>
      <c r="K34" s="34">
        <v>0</v>
      </c>
      <c r="L34" s="159">
        <v>0</v>
      </c>
      <c r="M34" s="34">
        <v>-119454.33</v>
      </c>
      <c r="N34" s="35">
        <v>-1078091.3999999999</v>
      </c>
      <c r="O34" s="34">
        <v>-39650</v>
      </c>
      <c r="P34" s="159">
        <v>0</v>
      </c>
      <c r="Q34" s="34">
        <v>0</v>
      </c>
      <c r="R34" s="35"/>
      <c r="S34" s="34">
        <v>-49697.11</v>
      </c>
      <c r="T34" s="59">
        <v>-2240.4499999999998</v>
      </c>
      <c r="U34" s="34">
        <v>-153116.65</v>
      </c>
      <c r="V34" s="35">
        <v>-12924.52</v>
      </c>
      <c r="W34" s="34">
        <v>-9051.1200000000008</v>
      </c>
      <c r="X34" s="59">
        <v>-9051.1200000000008</v>
      </c>
      <c r="Y34" s="34"/>
      <c r="Z34" s="35">
        <v>-8469.2000000000007</v>
      </c>
      <c r="AA34" s="34">
        <v>-8469.2000000000007</v>
      </c>
      <c r="AB34" s="35"/>
    </row>
    <row r="35" spans="1:28" ht="27.95" customHeight="1">
      <c r="A35" s="26" t="s">
        <v>97</v>
      </c>
      <c r="B35" s="64">
        <f t="shared" ref="B35:D35" si="14">SUM(B26:B34)</f>
        <v>-18225501.360000003</v>
      </c>
      <c r="C35" s="37">
        <f t="shared" si="14"/>
        <v>-10913869.789999995</v>
      </c>
      <c r="D35" s="183">
        <f t="shared" si="14"/>
        <v>-7965680.8300000001</v>
      </c>
      <c r="E35" s="37">
        <f t="shared" ref="E35" si="15">SUM(E26:E34)</f>
        <v>-17392235.860000022</v>
      </c>
      <c r="F35" s="64">
        <f t="shared" ref="F35" si="16">SUM(F26:F34)</f>
        <v>-7537068.8200000264</v>
      </c>
      <c r="G35" s="37">
        <f t="shared" ref="G35" si="17">SUM(G26:G34)</f>
        <v>-3085194.5000000061</v>
      </c>
      <c r="H35" s="183">
        <f t="shared" ref="H35" si="18">SUM(H26:H34)</f>
        <v>-2038043.7900000084</v>
      </c>
      <c r="I35" s="37">
        <f t="shared" ref="I35" si="19">SUM(I26:I34)</f>
        <v>-7441406.2200000109</v>
      </c>
      <c r="J35" s="64">
        <f t="shared" ref="J35:O35" si="20">SUM(J26:J34)</f>
        <v>-4730008.4100000327</v>
      </c>
      <c r="K35" s="37">
        <f t="shared" si="20"/>
        <v>-3072899.1500000004</v>
      </c>
      <c r="L35" s="183">
        <f t="shared" si="20"/>
        <v>-2628196.4099999997</v>
      </c>
      <c r="M35" s="37">
        <f t="shared" si="20"/>
        <v>7294647.0699999975</v>
      </c>
      <c r="N35" s="64">
        <f t="shared" si="20"/>
        <v>18312092.250000004</v>
      </c>
      <c r="O35" s="37">
        <f t="shared" si="20"/>
        <v>19340846.91</v>
      </c>
      <c r="P35" s="183">
        <v>8236888.8399999999</v>
      </c>
      <c r="Q35" s="63">
        <v>-10387130.289999999</v>
      </c>
      <c r="R35" s="64">
        <v>-9644206.0999999996</v>
      </c>
      <c r="S35" s="63">
        <v>-12756527.07</v>
      </c>
      <c r="T35" s="69">
        <v>-6287207.4000000004</v>
      </c>
      <c r="U35" s="63">
        <v>859069.89</v>
      </c>
      <c r="V35" s="64">
        <v>-2198579.44</v>
      </c>
      <c r="W35" s="63">
        <v>-1042283.8</v>
      </c>
      <c r="X35" s="69">
        <v>913436.13</v>
      </c>
      <c r="Y35" s="63">
        <v>-2908360.75</v>
      </c>
      <c r="Z35" s="64">
        <v>-2717950.23</v>
      </c>
      <c r="AA35" s="63">
        <v>-1431559.6</v>
      </c>
      <c r="AB35" s="64">
        <v>-888047</v>
      </c>
    </row>
    <row r="36" spans="1:28" ht="27.95" customHeight="1">
      <c r="A36" s="26"/>
      <c r="B36" s="62"/>
      <c r="C36" s="37"/>
      <c r="D36" s="183"/>
      <c r="E36" s="37"/>
      <c r="F36" s="62"/>
      <c r="G36" s="37"/>
      <c r="H36" s="183"/>
      <c r="I36" s="37"/>
      <c r="J36" s="62"/>
      <c r="K36" s="37"/>
      <c r="L36" s="183"/>
      <c r="M36" s="37"/>
      <c r="N36" s="62"/>
      <c r="O36" s="37"/>
      <c r="P36" s="183"/>
      <c r="Q36" s="61"/>
      <c r="R36" s="62"/>
      <c r="S36" s="61"/>
      <c r="T36" s="70"/>
      <c r="U36" s="61"/>
      <c r="V36" s="62"/>
      <c r="W36" s="61"/>
      <c r="X36" s="70"/>
      <c r="Y36" s="61"/>
      <c r="Z36" s="62"/>
      <c r="AA36" s="61"/>
      <c r="AB36" s="62"/>
    </row>
    <row r="37" spans="1:28" ht="27.95" customHeight="1">
      <c r="A37" s="26" t="s">
        <v>98</v>
      </c>
      <c r="B37" s="62"/>
      <c r="C37" s="37"/>
      <c r="D37" s="183"/>
      <c r="E37" s="37"/>
      <c r="F37" s="62"/>
      <c r="G37" s="37"/>
      <c r="H37" s="183"/>
      <c r="I37" s="37"/>
      <c r="J37" s="62"/>
      <c r="K37" s="37"/>
      <c r="L37" s="183"/>
      <c r="M37" s="37"/>
      <c r="N37" s="62"/>
      <c r="O37" s="37"/>
      <c r="P37" s="183"/>
      <c r="Q37" s="61"/>
      <c r="R37" s="62"/>
      <c r="S37" s="61"/>
      <c r="T37" s="70"/>
      <c r="U37" s="61"/>
      <c r="V37" s="62"/>
      <c r="W37" s="61"/>
      <c r="X37" s="70"/>
      <c r="Y37" s="61"/>
      <c r="Z37" s="62"/>
      <c r="AA37" s="61"/>
      <c r="AB37" s="62"/>
    </row>
    <row r="38" spans="1:28" ht="27.95" customHeight="1">
      <c r="A38" s="27" t="s">
        <v>99</v>
      </c>
      <c r="B38" s="35">
        <v>53139235.009999998</v>
      </c>
      <c r="C38" s="34">
        <v>35547708.849999994</v>
      </c>
      <c r="D38" s="159">
        <v>29101856.139999997</v>
      </c>
      <c r="E38" s="34">
        <v>18307835.059999999</v>
      </c>
      <c r="F38" s="35">
        <v>27916703.370000005</v>
      </c>
      <c r="G38" s="34">
        <v>25044344.060000006</v>
      </c>
      <c r="H38" s="159">
        <v>18363713.590000004</v>
      </c>
      <c r="I38" s="34">
        <v>2618341.1999999974</v>
      </c>
      <c r="J38" s="35">
        <v>19051680.089999996</v>
      </c>
      <c r="K38" s="34">
        <v>11172430.869999999</v>
      </c>
      <c r="L38" s="159">
        <v>15678943</v>
      </c>
      <c r="M38" s="34">
        <v>3138775.33</v>
      </c>
      <c r="N38" s="35">
        <v>8921355.8900000006</v>
      </c>
      <c r="O38" s="34">
        <v>7715270.0800000001</v>
      </c>
      <c r="P38" s="159">
        <v>4578012.5</v>
      </c>
      <c r="Q38" s="34">
        <v>11715983.689999999</v>
      </c>
      <c r="R38" s="35">
        <v>18817816.640000001</v>
      </c>
      <c r="S38" s="34">
        <v>16425384.289999999</v>
      </c>
      <c r="T38" s="59">
        <v>8623113.9900000002</v>
      </c>
      <c r="U38" s="34">
        <v>5049882.13</v>
      </c>
      <c r="V38" s="35">
        <v>5655583.9500000002</v>
      </c>
      <c r="W38" s="34">
        <v>4295053.3600000003</v>
      </c>
      <c r="X38" s="59">
        <v>6647741.96</v>
      </c>
      <c r="Y38" s="34">
        <v>4384842.96</v>
      </c>
      <c r="Z38" s="35">
        <v>6886559.0199999996</v>
      </c>
      <c r="AA38" s="34">
        <v>4238536.41</v>
      </c>
      <c r="AB38" s="35">
        <v>3914347.13</v>
      </c>
    </row>
    <row r="39" spans="1:28" ht="27.95" customHeight="1">
      <c r="A39" s="27" t="s">
        <v>100</v>
      </c>
      <c r="B39" s="35">
        <v>-24414965.050000001</v>
      </c>
      <c r="C39" s="34">
        <v>-13985089.149999995</v>
      </c>
      <c r="D39" s="159">
        <v>-4805181.59</v>
      </c>
      <c r="E39" s="34">
        <v>-2626435.8800000008</v>
      </c>
      <c r="F39" s="35">
        <v>-3423981.8200000003</v>
      </c>
      <c r="G39" s="34">
        <v>-11472115.43</v>
      </c>
      <c r="H39" s="159">
        <v>-3544154.5000000009</v>
      </c>
      <c r="I39" s="34">
        <v>-12425730.550000001</v>
      </c>
      <c r="J39" s="35">
        <v>-10777582.060000001</v>
      </c>
      <c r="K39" s="34">
        <v>-9186512.4100000001</v>
      </c>
      <c r="L39" s="159">
        <v>-634682.73</v>
      </c>
      <c r="M39" s="34">
        <v>-7902883.6799999997</v>
      </c>
      <c r="N39" s="35">
        <v>-11481223.130000001</v>
      </c>
      <c r="O39" s="34">
        <v>-9695206.8399999999</v>
      </c>
      <c r="P39" s="159">
        <v>1524270.24</v>
      </c>
      <c r="Q39" s="34">
        <v>-5305636.3099999996</v>
      </c>
      <c r="R39" s="35">
        <v>-15312579.9</v>
      </c>
      <c r="S39" s="34">
        <v>-6395706.2599999998</v>
      </c>
      <c r="T39" s="59">
        <v>-471750</v>
      </c>
      <c r="U39" s="34">
        <v>-5931247.7599999998</v>
      </c>
      <c r="V39" s="35">
        <v>-13069927.710000001</v>
      </c>
      <c r="W39" s="34">
        <v>-12847455.810000001</v>
      </c>
      <c r="X39" s="59">
        <v>-3449453.81</v>
      </c>
      <c r="Y39" s="34">
        <v>-2903957.6</v>
      </c>
      <c r="Z39" s="35">
        <v>-9138198.9600000009</v>
      </c>
      <c r="AA39" s="34">
        <v>-4926137.0199999996</v>
      </c>
      <c r="AB39" s="35">
        <v>-700000</v>
      </c>
    </row>
    <row r="40" spans="1:28" ht="27.95" customHeight="1">
      <c r="A40" s="27" t="s">
        <v>101</v>
      </c>
      <c r="B40" s="35">
        <v>-3986394.09</v>
      </c>
      <c r="C40" s="34">
        <v>-2925762.4300000034</v>
      </c>
      <c r="D40" s="159">
        <v>-1569162.8199999933</v>
      </c>
      <c r="E40" s="34">
        <v>-6311184.4100000057</v>
      </c>
      <c r="F40" s="35">
        <v>-5120661.1200000057</v>
      </c>
      <c r="G40" s="34">
        <v>-3385382.8800000087</v>
      </c>
      <c r="H40" s="159">
        <v>-1276507.8700000043</v>
      </c>
      <c r="I40" s="34">
        <v>-7229463.9899999946</v>
      </c>
      <c r="J40" s="35">
        <v>-5216236.4799999977</v>
      </c>
      <c r="K40" s="34">
        <v>-3557959.15</v>
      </c>
      <c r="L40" s="159">
        <v>-1510697.32</v>
      </c>
      <c r="M40" s="34">
        <v>-5867191.8799999999</v>
      </c>
      <c r="N40" s="35">
        <v>-4421320.42</v>
      </c>
      <c r="O40" s="34">
        <v>-2216170.65</v>
      </c>
      <c r="P40" s="159">
        <v>-738871.83</v>
      </c>
      <c r="Q40" s="34">
        <v>-9636715.6400000006</v>
      </c>
      <c r="R40" s="35">
        <v>-2337576.75</v>
      </c>
      <c r="S40" s="34">
        <v>-3436025.27</v>
      </c>
      <c r="T40" s="59">
        <v>-144443.45000000001</v>
      </c>
      <c r="U40" s="34">
        <v>-2689115.97</v>
      </c>
      <c r="V40" s="35">
        <v>-969480.07</v>
      </c>
      <c r="W40" s="34">
        <v>-1449454.04</v>
      </c>
      <c r="X40" s="59">
        <v>-1139943.8899999999</v>
      </c>
      <c r="Y40" s="34">
        <v>-2449814.91</v>
      </c>
      <c r="Z40" s="35">
        <v>-2301332.11</v>
      </c>
      <c r="AA40" s="34">
        <v>-3558396.29</v>
      </c>
      <c r="AB40" s="35">
        <v>-1470557.03</v>
      </c>
    </row>
    <row r="41" spans="1:28" ht="27.95" customHeight="1">
      <c r="A41" s="27" t="s">
        <v>102</v>
      </c>
      <c r="B41" s="35">
        <v>-1854719.16</v>
      </c>
      <c r="C41" s="34">
        <v>-1236771.71</v>
      </c>
      <c r="D41" s="159">
        <v>-616266.02</v>
      </c>
      <c r="E41" s="34">
        <v>-2338083.2800000003</v>
      </c>
      <c r="F41" s="35">
        <v>-1681262.7400000002</v>
      </c>
      <c r="G41" s="34">
        <v>-1163216.99</v>
      </c>
      <c r="H41" s="159">
        <v>-578386.5199999999</v>
      </c>
      <c r="I41" s="34">
        <v>-1796285.3200000003</v>
      </c>
      <c r="J41" s="35">
        <v>-1634019.57</v>
      </c>
      <c r="K41" s="34">
        <v>-1075851</v>
      </c>
      <c r="L41" s="159">
        <v>-499967.19</v>
      </c>
      <c r="M41" s="34">
        <v>-2166631.71</v>
      </c>
      <c r="N41" s="35">
        <v>-1618085.53</v>
      </c>
      <c r="O41" s="34">
        <v>-1089777.01</v>
      </c>
      <c r="P41" s="159">
        <v>-570350.43999999994</v>
      </c>
      <c r="Q41" s="34">
        <v>-2629772.65</v>
      </c>
      <c r="R41" s="35">
        <v>-1991111.58</v>
      </c>
      <c r="S41" s="34">
        <v>-1328696.42</v>
      </c>
      <c r="T41" s="59">
        <v>-638565.14</v>
      </c>
      <c r="U41" s="34">
        <v>-2776485.8</v>
      </c>
      <c r="V41" s="35">
        <v>-2121378.62</v>
      </c>
      <c r="W41" s="34">
        <v>-1523677.06</v>
      </c>
      <c r="X41" s="59">
        <v>-777361.7</v>
      </c>
      <c r="Y41" s="34">
        <v>-3620897.11</v>
      </c>
      <c r="Z41" s="35">
        <v>-2794260.41</v>
      </c>
      <c r="AA41" s="34">
        <v>-1922402.15</v>
      </c>
      <c r="AB41" s="35">
        <v>-914984.46</v>
      </c>
    </row>
    <row r="42" spans="1:28" ht="27.95" customHeight="1">
      <c r="A42" s="27" t="s">
        <v>141</v>
      </c>
      <c r="B42" s="35">
        <v>1539552.22</v>
      </c>
      <c r="C42" s="34">
        <v>1322813.76</v>
      </c>
      <c r="D42" s="159">
        <v>3339.94</v>
      </c>
      <c r="E42" s="34">
        <v>5916382.6799999997</v>
      </c>
      <c r="F42" s="35">
        <v>88160</v>
      </c>
      <c r="G42" s="34">
        <v>88160</v>
      </c>
      <c r="H42" s="159">
        <v>0</v>
      </c>
      <c r="I42" s="34">
        <v>0</v>
      </c>
      <c r="J42" s="35">
        <v>69750</v>
      </c>
      <c r="K42" s="34">
        <v>66625</v>
      </c>
      <c r="L42" s="159">
        <v>66625</v>
      </c>
      <c r="M42" s="34"/>
      <c r="N42" s="35"/>
      <c r="O42" s="34"/>
      <c r="P42" s="159">
        <v>0</v>
      </c>
      <c r="Q42" s="34">
        <v>0</v>
      </c>
      <c r="R42" s="35"/>
      <c r="S42" s="34"/>
      <c r="T42" s="59">
        <v>0</v>
      </c>
      <c r="U42" s="34">
        <v>86233.5</v>
      </c>
      <c r="V42" s="35">
        <v>85552.26</v>
      </c>
      <c r="W42" s="34">
        <v>413.66</v>
      </c>
      <c r="X42" s="59">
        <v>938.36</v>
      </c>
      <c r="Y42" s="34">
        <v>5598.4</v>
      </c>
      <c r="Z42" s="35">
        <v>124839.1</v>
      </c>
      <c r="AA42" s="34">
        <v>12574.15</v>
      </c>
      <c r="AB42" s="35">
        <v>6080.73</v>
      </c>
    </row>
    <row r="43" spans="1:28" ht="27.95" customHeight="1">
      <c r="A43" s="27" t="s">
        <v>140</v>
      </c>
      <c r="B43" s="35">
        <v>-409697.85</v>
      </c>
      <c r="C43" s="34">
        <v>-409697.85</v>
      </c>
      <c r="D43" s="159">
        <v>-268255.84999999998</v>
      </c>
      <c r="E43" s="34">
        <v>-1125143.1200000001</v>
      </c>
      <c r="F43" s="35">
        <v>-91331.67</v>
      </c>
      <c r="G43" s="34">
        <v>0</v>
      </c>
      <c r="H43" s="159">
        <v>0</v>
      </c>
      <c r="I43" s="34">
        <v>0</v>
      </c>
      <c r="J43" s="35">
        <v>-74750.000000000524</v>
      </c>
      <c r="K43" s="34">
        <v>0</v>
      </c>
      <c r="L43" s="159"/>
      <c r="M43" s="34"/>
      <c r="N43" s="35"/>
      <c r="O43" s="34"/>
      <c r="P43" s="159">
        <v>0</v>
      </c>
      <c r="Q43" s="34"/>
      <c r="R43" s="35"/>
      <c r="S43" s="34"/>
      <c r="T43" s="59">
        <v>-4986.04</v>
      </c>
      <c r="U43" s="34">
        <v>0</v>
      </c>
      <c r="V43" s="35"/>
      <c r="W43" s="34"/>
      <c r="X43" s="59"/>
      <c r="Y43" s="34">
        <v>0</v>
      </c>
      <c r="Z43" s="35"/>
      <c r="AA43" s="34"/>
      <c r="AB43" s="35"/>
    </row>
    <row r="44" spans="1:28" ht="27.95" customHeight="1">
      <c r="A44" s="26" t="s">
        <v>103</v>
      </c>
      <c r="B44" s="64">
        <f t="shared" ref="B44:D44" si="21">SUM(B38:B43)</f>
        <v>24013011.079999994</v>
      </c>
      <c r="C44" s="37">
        <f t="shared" si="21"/>
        <v>18313201.469999995</v>
      </c>
      <c r="D44" s="183">
        <f t="shared" si="21"/>
        <v>21846329.800000004</v>
      </c>
      <c r="E44" s="37">
        <f t="shared" ref="E44" si="22">SUM(E38:E43)</f>
        <v>11823371.04999999</v>
      </c>
      <c r="F44" s="64">
        <f t="shared" ref="F44" si="23">SUM(F38:F43)</f>
        <v>17687626.019999996</v>
      </c>
      <c r="G44" s="37">
        <f t="shared" ref="G44" si="24">SUM(G38:G43)</f>
        <v>9111788.7599999979</v>
      </c>
      <c r="H44" s="183">
        <f t="shared" ref="H44" si="25">SUM(H38:H43)</f>
        <v>12964664.699999999</v>
      </c>
      <c r="I44" s="37">
        <f t="shared" ref="I44" si="26">SUM(I38:I43)</f>
        <v>-18833138.659999996</v>
      </c>
      <c r="J44" s="64">
        <f t="shared" ref="J44:O44" si="27">SUM(J38:J43)</f>
        <v>1418841.9799999974</v>
      </c>
      <c r="K44" s="37">
        <f t="shared" si="27"/>
        <v>-2581266.6900000009</v>
      </c>
      <c r="L44" s="183">
        <f t="shared" si="27"/>
        <v>13100220.76</v>
      </c>
      <c r="M44" s="64">
        <f t="shared" si="27"/>
        <v>-12797931.940000001</v>
      </c>
      <c r="N44" s="64">
        <f t="shared" si="27"/>
        <v>-8599273.1899999995</v>
      </c>
      <c r="O44" s="37">
        <f t="shared" si="27"/>
        <v>-5285884.42</v>
      </c>
      <c r="P44" s="183">
        <v>4793060.47</v>
      </c>
      <c r="Q44" s="63">
        <v>-5856140.9100000001</v>
      </c>
      <c r="R44" s="64">
        <v>-823451.59</v>
      </c>
      <c r="S44" s="63">
        <v>5264956.34</v>
      </c>
      <c r="T44" s="69">
        <v>7363369.3600000003</v>
      </c>
      <c r="U44" s="63">
        <v>-6260733.9000000004</v>
      </c>
      <c r="V44" s="64">
        <v>-10419650.189999999</v>
      </c>
      <c r="W44" s="63">
        <v>-11525119.890000001</v>
      </c>
      <c r="X44" s="69">
        <v>1281920.92</v>
      </c>
      <c r="Y44" s="63">
        <v>-4584228.26</v>
      </c>
      <c r="Z44" s="64">
        <v>-7222393.3600000003</v>
      </c>
      <c r="AA44" s="63">
        <v>-6155824.9000000004</v>
      </c>
      <c r="AB44" s="64">
        <v>834886.37</v>
      </c>
    </row>
    <row r="45" spans="1:28" ht="27.95" customHeight="1">
      <c r="A45" s="26"/>
      <c r="B45" s="62"/>
      <c r="C45" s="37"/>
      <c r="D45" s="183"/>
      <c r="E45" s="37"/>
      <c r="F45" s="62"/>
      <c r="G45" s="37"/>
      <c r="H45" s="183"/>
      <c r="I45" s="37"/>
      <c r="J45" s="62"/>
      <c r="K45" s="37"/>
      <c r="L45" s="183"/>
      <c r="M45" s="37"/>
      <c r="N45" s="62"/>
      <c r="O45" s="37"/>
      <c r="P45" s="183"/>
      <c r="Q45" s="61"/>
      <c r="R45" s="62"/>
      <c r="S45" s="61"/>
      <c r="T45" s="70"/>
      <c r="U45" s="61"/>
      <c r="V45" s="62"/>
      <c r="W45" s="61"/>
      <c r="X45" s="70"/>
      <c r="Y45" s="61"/>
      <c r="Z45" s="62"/>
      <c r="AA45" s="61"/>
      <c r="AB45" s="62"/>
    </row>
    <row r="46" spans="1:28" ht="27.95" customHeight="1">
      <c r="A46" s="26" t="s">
        <v>104</v>
      </c>
      <c r="B46" s="64">
        <f>SUM(B23,B35,B44)</f>
        <v>-25802.050000011921</v>
      </c>
      <c r="C46" s="37">
        <f>SUM(C23,C35,C44)</f>
        <v>1134217.2800000049</v>
      </c>
      <c r="D46" s="183">
        <f>SUM(D23,D35,D44)</f>
        <v>-69262.239999998361</v>
      </c>
      <c r="E46" s="37">
        <f>E23+E35+E44</f>
        <v>3755.4499999806285</v>
      </c>
      <c r="F46" s="64">
        <f>SUM(F23,F35,F44)</f>
        <v>671159.01899996772</v>
      </c>
      <c r="G46" s="37">
        <f>G23+G35+G44</f>
        <v>-366138.50550763123</v>
      </c>
      <c r="H46" s="183">
        <f>SUM(H23,H35,H44)</f>
        <v>-1121534.3800000027</v>
      </c>
      <c r="I46" s="37">
        <f>I23+I35+I44</f>
        <v>-2552143.47000001</v>
      </c>
      <c r="J46" s="64">
        <f>SUM(J23,J35,J44)</f>
        <v>-3282710.1100000534</v>
      </c>
      <c r="K46" s="37">
        <f>K23+K35+K44</f>
        <v>-3076984.4500000156</v>
      </c>
      <c r="L46" s="183">
        <f>SUM(L23,L35,L44)</f>
        <v>-2802333.6200000066</v>
      </c>
      <c r="M46" s="37">
        <f>M23+M35+M44</f>
        <v>-15180.310000007972</v>
      </c>
      <c r="N46" s="64">
        <f>SUM(N23,N35,N44)</f>
        <v>71656.950000004843</v>
      </c>
      <c r="O46" s="37">
        <f>O23+O35+O44</f>
        <v>-1350837.1700000037</v>
      </c>
      <c r="P46" s="183">
        <v>-1847896.04</v>
      </c>
      <c r="Q46" s="63">
        <v>-1735903.83</v>
      </c>
      <c r="R46" s="64">
        <v>-1898222.19</v>
      </c>
      <c r="S46" s="63">
        <v>-341522.24</v>
      </c>
      <c r="T46" s="69">
        <v>-2395834.88</v>
      </c>
      <c r="U46" s="63">
        <v>3484028.05</v>
      </c>
      <c r="V46" s="64">
        <v>-1212966.22</v>
      </c>
      <c r="W46" s="63">
        <v>-2032386.75</v>
      </c>
      <c r="X46" s="69">
        <v>-1487180.7</v>
      </c>
      <c r="Y46" s="63">
        <v>-4313528.12</v>
      </c>
      <c r="Z46" s="64">
        <v>-6695652.2999999998</v>
      </c>
      <c r="AA46" s="63">
        <v>-4562934.45</v>
      </c>
      <c r="AB46" s="64">
        <v>-6265502.4299999997</v>
      </c>
    </row>
    <row r="47" spans="1:28" ht="42">
      <c r="A47" s="71" t="s">
        <v>105</v>
      </c>
      <c r="B47" s="62">
        <v>-39702.730000000003</v>
      </c>
      <c r="C47" s="184">
        <v>-4147.6900000000005</v>
      </c>
      <c r="D47" s="159">
        <v>-5535.1500000000005</v>
      </c>
      <c r="E47" s="184">
        <v>10453.49</v>
      </c>
      <c r="F47" s="62">
        <v>461574.82</v>
      </c>
      <c r="G47" s="184">
        <v>-259</v>
      </c>
      <c r="H47" s="159">
        <v>10988.07</v>
      </c>
      <c r="I47" s="184">
        <v>165833.81999999998</v>
      </c>
      <c r="J47" s="62">
        <v>-28203.909999999996</v>
      </c>
      <c r="K47" s="184">
        <v>6691.1</v>
      </c>
      <c r="L47" s="159">
        <v>145083.04</v>
      </c>
      <c r="M47" s="184">
        <v>169359.37</v>
      </c>
      <c r="N47" s="62">
        <v>67213.350000000006</v>
      </c>
      <c r="O47" s="184">
        <v>8389.9500000000007</v>
      </c>
      <c r="P47" s="159">
        <v>2327.5</v>
      </c>
      <c r="Q47" s="61">
        <v>-143506.12</v>
      </c>
      <c r="R47" s="62">
        <v>44381.9</v>
      </c>
      <c r="S47" s="61">
        <v>42592.54</v>
      </c>
      <c r="T47" s="70">
        <v>-6761.71</v>
      </c>
      <c r="U47" s="61">
        <v>-42608.17</v>
      </c>
      <c r="V47" s="62">
        <v>4090.14</v>
      </c>
      <c r="W47" s="61">
        <v>3844.26</v>
      </c>
      <c r="X47" s="70">
        <v>4888.84</v>
      </c>
      <c r="Y47" s="61">
        <v>-2687.72</v>
      </c>
      <c r="Z47" s="62">
        <v>-1688.02</v>
      </c>
      <c r="AA47" s="61">
        <v>-20585.98</v>
      </c>
      <c r="AB47" s="62">
        <v>39.630000000000003</v>
      </c>
    </row>
    <row r="48" spans="1:28" ht="27.95" customHeight="1">
      <c r="A48" s="26" t="s">
        <v>106</v>
      </c>
      <c r="B48" s="38">
        <f>SUM(B46:B47)</f>
        <v>-65504.780000011924</v>
      </c>
      <c r="C48" s="37">
        <f>SUM(C46:C47)</f>
        <v>1130069.590000005</v>
      </c>
      <c r="D48" s="183">
        <f>SUM(D46:D47)</f>
        <v>-74797.389999998355</v>
      </c>
      <c r="E48" s="37">
        <f>E46+E47</f>
        <v>14208.939999980628</v>
      </c>
      <c r="F48" s="64">
        <f>SUM(F46:F47)</f>
        <v>1132733.8389999678</v>
      </c>
      <c r="G48" s="37">
        <f>G46+G47</f>
        <v>-366397.50550763123</v>
      </c>
      <c r="H48" s="183">
        <f>SUM(H46:H47)</f>
        <v>-1110546.3100000026</v>
      </c>
      <c r="I48" s="37">
        <f>I46+I47</f>
        <v>-2386309.6500000102</v>
      </c>
      <c r="J48" s="64">
        <f>SUM(J46:J47)</f>
        <v>-3310914.0200000536</v>
      </c>
      <c r="K48" s="37">
        <f>K46+K47</f>
        <v>-3070293.3500000155</v>
      </c>
      <c r="L48" s="183">
        <f>SUM(L46:L47)</f>
        <v>-2657250.5800000066</v>
      </c>
      <c r="M48" s="37">
        <f>M46+M47</f>
        <v>154179.05999999202</v>
      </c>
      <c r="N48" s="64">
        <f>SUM(N46:N47)</f>
        <v>138870.30000000485</v>
      </c>
      <c r="O48" s="37">
        <f>O46+O47</f>
        <v>-1342447.2200000037</v>
      </c>
      <c r="P48" s="183">
        <v>-1845568.54</v>
      </c>
      <c r="Q48" s="63">
        <v>-1879409.95</v>
      </c>
      <c r="R48" s="64">
        <v>-1853840.29</v>
      </c>
      <c r="S48" s="63">
        <v>-298929.7</v>
      </c>
      <c r="T48" s="69">
        <v>-2402596.59</v>
      </c>
      <c r="U48" s="63">
        <v>3441419.88</v>
      </c>
      <c r="V48" s="64">
        <v>-1208876.08</v>
      </c>
      <c r="W48" s="63">
        <v>-2028542.49</v>
      </c>
      <c r="X48" s="69">
        <v>-1482291.86</v>
      </c>
      <c r="Y48" s="63">
        <v>-4316215.84</v>
      </c>
      <c r="Z48" s="64">
        <v>-6697340.3200000003</v>
      </c>
      <c r="AA48" s="63">
        <v>-4583520.43</v>
      </c>
      <c r="AB48" s="64">
        <v>-6265462.7999999998</v>
      </c>
    </row>
    <row r="49" spans="1:28" ht="27.95" customHeight="1">
      <c r="A49" s="26" t="s">
        <v>107</v>
      </c>
      <c r="B49" s="64">
        <v>2484709.62</v>
      </c>
      <c r="C49" s="37">
        <f>E50</f>
        <v>2484709.6999999708</v>
      </c>
      <c r="D49" s="183">
        <f>E50</f>
        <v>2484709.6999999708</v>
      </c>
      <c r="E49" s="37">
        <f>H49</f>
        <v>2470500.75999999</v>
      </c>
      <c r="F49" s="64">
        <f>G49</f>
        <v>2470500.75999999</v>
      </c>
      <c r="G49" s="37">
        <f>H49</f>
        <v>2470500.75999999</v>
      </c>
      <c r="H49" s="183">
        <f>I50</f>
        <v>2470500.75999999</v>
      </c>
      <c r="I49" s="37">
        <f>L49</f>
        <v>4856810.41</v>
      </c>
      <c r="J49" s="64">
        <f>K49</f>
        <v>4856810.41</v>
      </c>
      <c r="K49" s="37">
        <f>L49</f>
        <v>4856810.41</v>
      </c>
      <c r="L49" s="183">
        <v>4856810.41</v>
      </c>
      <c r="M49" s="37">
        <f>P49</f>
        <v>4369921.21</v>
      </c>
      <c r="N49" s="64">
        <f>Q50</f>
        <v>4369921.21</v>
      </c>
      <c r="O49" s="37">
        <v>4369921.21</v>
      </c>
      <c r="P49" s="183">
        <v>4369921.21</v>
      </c>
      <c r="Q49" s="63">
        <v>6249331.1600000001</v>
      </c>
      <c r="R49" s="64">
        <v>6249331.1600000001</v>
      </c>
      <c r="S49" s="63">
        <v>6249331.1600000001</v>
      </c>
      <c r="T49" s="69">
        <v>6249331.1600000001</v>
      </c>
      <c r="U49" s="63">
        <v>2807911.28</v>
      </c>
      <c r="V49" s="64">
        <v>2807911.28</v>
      </c>
      <c r="W49" s="63">
        <v>2807911.28</v>
      </c>
      <c r="X49" s="69">
        <v>2807911.28</v>
      </c>
      <c r="Y49" s="63">
        <v>7124127.1200000001</v>
      </c>
      <c r="Z49" s="64">
        <v>7124476.1900000004</v>
      </c>
      <c r="AA49" s="63">
        <v>7124476.1900000004</v>
      </c>
      <c r="AB49" s="64">
        <v>7124127.1200000001</v>
      </c>
    </row>
    <row r="50" spans="1:28" ht="27.95" customHeight="1">
      <c r="A50" s="26" t="s">
        <v>108</v>
      </c>
      <c r="B50" s="64">
        <f>SUM(B48:B49)</f>
        <v>2419204.8399999882</v>
      </c>
      <c r="C50" s="37">
        <f>SUM(C48:C49)</f>
        <v>3614779.2899999758</v>
      </c>
      <c r="D50" s="183">
        <f>SUM(D48:D49)</f>
        <v>2409912.3099999726</v>
      </c>
      <c r="E50" s="37">
        <f>E48+E49</f>
        <v>2484709.6999999708</v>
      </c>
      <c r="F50" s="64">
        <f>SUM(F48:F49)</f>
        <v>3603234.5989999576</v>
      </c>
      <c r="G50" s="37">
        <f>G48+G49</f>
        <v>2104103.2544923588</v>
      </c>
      <c r="H50" s="183">
        <f>SUM(H48:H49)</f>
        <v>1359954.4499999874</v>
      </c>
      <c r="I50" s="37">
        <f>I48+I49</f>
        <v>2470500.75999999</v>
      </c>
      <c r="J50" s="64">
        <f>SUM(J48:J49)</f>
        <v>1545896.3899999466</v>
      </c>
      <c r="K50" s="37">
        <f>K48+K49</f>
        <v>1786517.0599999847</v>
      </c>
      <c r="L50" s="183">
        <f>SUM(L48:L49)</f>
        <v>2199559.8299999936</v>
      </c>
      <c r="M50" s="37">
        <f>M48+M49</f>
        <v>4524100.2699999921</v>
      </c>
      <c r="N50" s="64">
        <f>SUM(N48:N49)</f>
        <v>4508791.5100000044</v>
      </c>
      <c r="O50" s="37">
        <f>O48+O49</f>
        <v>3027473.9899999965</v>
      </c>
      <c r="P50" s="183">
        <v>2524352.67</v>
      </c>
      <c r="Q50" s="63">
        <v>4369921.21</v>
      </c>
      <c r="R50" s="64">
        <v>4395490.87</v>
      </c>
      <c r="S50" s="63">
        <v>5950401.46</v>
      </c>
      <c r="T50" s="69">
        <v>3846734.57</v>
      </c>
      <c r="U50" s="63">
        <v>6249331.1600000001</v>
      </c>
      <c r="V50" s="64">
        <v>1599035.2</v>
      </c>
      <c r="W50" s="63">
        <v>779368.79</v>
      </c>
      <c r="X50" s="69">
        <v>1325619.42</v>
      </c>
      <c r="Y50" s="63">
        <v>2807911.28</v>
      </c>
      <c r="Z50" s="64">
        <v>427135.87</v>
      </c>
      <c r="AA50" s="63">
        <v>2540955.7599999998</v>
      </c>
      <c r="AB50" s="64">
        <v>858664.32</v>
      </c>
    </row>
    <row r="51" spans="1:28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73"/>
      <c r="M51" s="166"/>
      <c r="N51" s="1"/>
    </row>
    <row r="52" spans="1:28">
      <c r="A52" s="1"/>
      <c r="B52" s="1"/>
      <c r="C52" s="1"/>
      <c r="D52" s="1"/>
      <c r="E52" s="1"/>
      <c r="F52" s="1"/>
      <c r="G52" s="1"/>
      <c r="H52" s="1"/>
      <c r="I52" s="1"/>
      <c r="J52" s="230"/>
      <c r="K52" s="173"/>
      <c r="M52" s="166"/>
      <c r="N52" s="1"/>
    </row>
    <row r="53" spans="1:28">
      <c r="A53" s="1"/>
      <c r="B53" s="1"/>
      <c r="C53" s="1"/>
      <c r="D53" s="1"/>
      <c r="E53" s="1"/>
      <c r="F53" s="1"/>
      <c r="G53" s="1"/>
      <c r="H53" s="1"/>
      <c r="I53" s="1"/>
      <c r="J53" s="1"/>
      <c r="K53" s="173"/>
      <c r="L53" s="1"/>
      <c r="M53" s="166"/>
      <c r="N53" s="1"/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173"/>
      <c r="L54" s="1"/>
      <c r="M54" s="166"/>
      <c r="N54" s="1"/>
    </row>
    <row r="55" spans="1:28">
      <c r="A55" s="1"/>
      <c r="B55" s="1"/>
      <c r="C55" s="1"/>
      <c r="D55" s="1"/>
      <c r="E55" s="1"/>
      <c r="F55" s="1"/>
      <c r="G55" s="1"/>
      <c r="H55" s="1"/>
      <c r="I55" s="1"/>
      <c r="J55" s="1"/>
      <c r="K55" s="173"/>
      <c r="L55" s="1"/>
      <c r="M55" s="166"/>
      <c r="N55" s="1"/>
    </row>
    <row r="56" spans="1:28">
      <c r="B56" s="1"/>
      <c r="D56" s="1"/>
      <c r="E56" s="1"/>
    </row>
  </sheetData>
  <pageMargins left="0.19685039370078741" right="0" top="0.19685039370078741" bottom="0.19685039370078741" header="0" footer="0"/>
  <pageSetup paperSize="9" scale="22" fitToHeight="0" orientation="landscape" horizontalDpi="4294967293" verticalDpi="4294967293" r:id="rId1"/>
  <headerFooter>
    <oddFooter>&amp;RREDWOOD PR
powered by PROFESCAPITAL</oddFooter>
  </headerFooter>
  <ignoredErrors>
    <ignoredError sqref="G46:N50 E46:E50 C49:D49 F49 F46:F48 F5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39"/>
  <sheetViews>
    <sheetView showGridLines="0" zoomScale="60" zoomScaleNormal="60" zoomScaleSheetLayoutView="40" zoomScalePageLayoutView="80" workbookViewId="0"/>
  </sheetViews>
  <sheetFormatPr defaultRowHeight="15"/>
  <cols>
    <col min="1" max="7" width="30.7109375" customWidth="1"/>
  </cols>
  <sheetData>
    <row r="1" spans="1:46" ht="50.1" customHeight="1">
      <c r="A1" s="345" t="s">
        <v>152</v>
      </c>
      <c r="B1" s="345"/>
      <c r="C1" s="345"/>
      <c r="D1" s="345"/>
      <c r="E1" s="345"/>
      <c r="F1" s="345"/>
      <c r="G1" s="345"/>
      <c r="H1" s="34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13"/>
      <c r="AN1" s="2"/>
      <c r="AO1" s="2"/>
      <c r="AP1" s="2"/>
      <c r="AQ1" s="2"/>
      <c r="AR1" s="2"/>
      <c r="AS1" s="2"/>
      <c r="AT1" s="2"/>
    </row>
    <row r="2" spans="1:46" ht="24.95" customHeight="1"/>
    <row r="3" spans="1:46" ht="27" customHeight="1">
      <c r="A3" s="5"/>
      <c r="B3" s="5"/>
      <c r="C3" s="5"/>
      <c r="F3" s="331"/>
    </row>
    <row r="4" spans="1:46" ht="30" customHeight="1">
      <c r="A4" s="469" t="s">
        <v>217</v>
      </c>
      <c r="B4" s="461" t="s">
        <v>46</v>
      </c>
      <c r="C4" s="463" t="s">
        <v>47</v>
      </c>
      <c r="D4" s="461" t="s">
        <v>48</v>
      </c>
      <c r="E4" s="462"/>
      <c r="F4" s="128"/>
      <c r="G4" s="462" t="s">
        <v>49</v>
      </c>
    </row>
    <row r="5" spans="1:46" ht="69.75" customHeight="1">
      <c r="A5" s="469"/>
      <c r="B5" s="461"/>
      <c r="C5" s="463"/>
      <c r="D5" s="90" t="s">
        <v>120</v>
      </c>
      <c r="E5" s="90" t="s">
        <v>119</v>
      </c>
      <c r="F5" s="146" t="s">
        <v>162</v>
      </c>
      <c r="G5" s="462"/>
    </row>
    <row r="6" spans="1:46" ht="35.1" customHeight="1">
      <c r="A6" s="94" t="s">
        <v>24</v>
      </c>
      <c r="B6" s="92">
        <v>21854000</v>
      </c>
      <c r="C6" s="92">
        <v>-3885096.7719138777</v>
      </c>
      <c r="D6" s="92">
        <v>7027100.415217475</v>
      </c>
      <c r="E6" s="92">
        <v>150417275.56936216</v>
      </c>
      <c r="F6" s="148"/>
      <c r="G6" s="92">
        <v>175413279.21266577</v>
      </c>
    </row>
    <row r="7" spans="1:46" ht="35.1" customHeight="1">
      <c r="A7" s="93" t="s">
        <v>32</v>
      </c>
      <c r="B7" s="91">
        <v>21854000</v>
      </c>
      <c r="C7" s="91">
        <v>-3474664.7199999993</v>
      </c>
      <c r="D7" s="91">
        <v>2156557.7470657658</v>
      </c>
      <c r="E7" s="91">
        <v>157394759.04936215</v>
      </c>
      <c r="F7" s="147"/>
      <c r="G7" s="91">
        <v>177930652.07642794</v>
      </c>
    </row>
    <row r="8" spans="1:46" ht="35.1" customHeight="1">
      <c r="A8" s="94" t="s">
        <v>31</v>
      </c>
      <c r="B8" s="92">
        <v>21854000</v>
      </c>
      <c r="C8" s="92">
        <v>-3222872.3199999994</v>
      </c>
      <c r="D8" s="92">
        <v>673670.62963850622</v>
      </c>
      <c r="E8" s="92">
        <v>157394759.04936215</v>
      </c>
      <c r="F8" s="148"/>
      <c r="G8" s="92">
        <v>176699557.35900071</v>
      </c>
    </row>
    <row r="9" spans="1:46" ht="35.1" customHeight="1">
      <c r="A9" s="93" t="s">
        <v>30</v>
      </c>
      <c r="B9" s="91">
        <v>21854000</v>
      </c>
      <c r="C9" s="91">
        <v>-2979617.4999999995</v>
      </c>
      <c r="D9" s="91">
        <v>2841888.1994715114</v>
      </c>
      <c r="E9" s="91">
        <v>157410469.57936215</v>
      </c>
      <c r="F9" s="147"/>
      <c r="G9" s="91">
        <v>179126740.27883366</v>
      </c>
    </row>
    <row r="10" spans="1:46" ht="35.1" customHeight="1">
      <c r="A10" s="94" t="s">
        <v>20</v>
      </c>
      <c r="B10" s="92">
        <v>21854000</v>
      </c>
      <c r="C10" s="92">
        <v>-3333930.7399999993</v>
      </c>
      <c r="D10" s="92">
        <v>6339660.6757663935</v>
      </c>
      <c r="E10" s="92">
        <v>157411050.57936215</v>
      </c>
      <c r="F10" s="148"/>
      <c r="G10" s="92">
        <v>182270780.51512855</v>
      </c>
    </row>
    <row r="11" spans="1:46" ht="35.1" customHeight="1">
      <c r="A11" s="93" t="s">
        <v>29</v>
      </c>
      <c r="B11" s="91">
        <v>21854000</v>
      </c>
      <c r="C11" s="91">
        <v>-2856203.3599999994</v>
      </c>
      <c r="D11" s="91">
        <v>11071085.463621562</v>
      </c>
      <c r="E11" s="91">
        <v>157463358.88936216</v>
      </c>
      <c r="F11" s="147"/>
      <c r="G11" s="91">
        <v>187532240.9929837</v>
      </c>
    </row>
    <row r="12" spans="1:46" ht="35.1" customHeight="1">
      <c r="A12" s="94" t="s">
        <v>28</v>
      </c>
      <c r="B12" s="92">
        <v>21854000</v>
      </c>
      <c r="C12" s="92">
        <v>-608937.78999999911</v>
      </c>
      <c r="D12" s="92">
        <v>4135737.1109614861</v>
      </c>
      <c r="E12" s="92">
        <v>163010099.27936211</v>
      </c>
      <c r="F12" s="148"/>
      <c r="G12" s="92">
        <v>188390898.60032362</v>
      </c>
    </row>
    <row r="13" spans="1:46" ht="35.1" customHeight="1">
      <c r="A13" s="93" t="s">
        <v>27</v>
      </c>
      <c r="B13" s="91">
        <v>21854000</v>
      </c>
      <c r="C13" s="91">
        <v>-28132.279999999795</v>
      </c>
      <c r="D13" s="91">
        <v>5661656.3223806443</v>
      </c>
      <c r="E13" s="91">
        <v>157474691.30936214</v>
      </c>
      <c r="F13" s="147">
        <v>-11027.02</v>
      </c>
      <c r="G13" s="91">
        <v>184951188.33174282</v>
      </c>
    </row>
    <row r="14" spans="1:46" ht="35.1" customHeight="1">
      <c r="A14" s="94" t="s">
        <v>16</v>
      </c>
      <c r="B14" s="92">
        <v>21854000</v>
      </c>
      <c r="C14" s="92">
        <v>856388.08690820145</v>
      </c>
      <c r="D14" s="92">
        <v>10507858.795772282</v>
      </c>
      <c r="E14" s="92">
        <v>157474691.30936214</v>
      </c>
      <c r="F14" s="148">
        <v>-29558.27</v>
      </c>
      <c r="G14" s="92">
        <v>190663379.92204258</v>
      </c>
    </row>
    <row r="15" spans="1:46" ht="35.1" customHeight="1">
      <c r="A15" s="93" t="s">
        <v>26</v>
      </c>
      <c r="B15" s="91">
        <v>21854000</v>
      </c>
      <c r="C15" s="91">
        <v>371957.82000000024</v>
      </c>
      <c r="D15" s="91">
        <v>17271266.408169772</v>
      </c>
      <c r="E15" s="91">
        <v>160171455.42227128</v>
      </c>
      <c r="F15" s="147">
        <v>-72762.45</v>
      </c>
      <c r="G15" s="91">
        <v>199595917.20044106</v>
      </c>
    </row>
    <row r="16" spans="1:46" ht="35.1" customHeight="1">
      <c r="A16" s="94" t="s">
        <v>25</v>
      </c>
      <c r="B16" s="92">
        <v>21854000</v>
      </c>
      <c r="C16" s="92">
        <v>440359.99000000005</v>
      </c>
      <c r="D16" s="92">
        <v>16126501.265784379</v>
      </c>
      <c r="E16" s="92">
        <v>160142944.80227128</v>
      </c>
      <c r="F16" s="148">
        <v>-78585.63</v>
      </c>
      <c r="G16" s="92">
        <v>198485220.42805561</v>
      </c>
    </row>
    <row r="17" spans="1:8" ht="35.1" customHeight="1">
      <c r="A17" s="93" t="s">
        <v>118</v>
      </c>
      <c r="B17" s="91">
        <v>21854000.000000004</v>
      </c>
      <c r="C17" s="91">
        <v>692514.97999999986</v>
      </c>
      <c r="D17" s="91">
        <v>8093969.713946119</v>
      </c>
      <c r="E17" s="91">
        <v>166400325.51306728</v>
      </c>
      <c r="F17" s="147">
        <v>2953687.95</v>
      </c>
      <c r="G17" s="91">
        <v>199994498.15701336</v>
      </c>
    </row>
    <row r="18" spans="1:8" ht="35.1" customHeight="1">
      <c r="A18" s="94" t="s">
        <v>163</v>
      </c>
      <c r="B18" s="92">
        <v>21854000</v>
      </c>
      <c r="C18" s="236">
        <v>780086.9</v>
      </c>
      <c r="D18" s="236">
        <v>10617217.91</v>
      </c>
      <c r="E18" s="236">
        <v>166400325.50999999</v>
      </c>
      <c r="F18" s="237">
        <v>2964184.33</v>
      </c>
      <c r="G18" s="236">
        <v>202615814.66</v>
      </c>
    </row>
    <row r="19" spans="1:8" ht="35.1" customHeight="1">
      <c r="A19" s="93" t="s">
        <v>185</v>
      </c>
      <c r="B19" s="91">
        <v>21854000</v>
      </c>
      <c r="C19" s="91">
        <f>BILANS!O36</f>
        <v>206404.34</v>
      </c>
      <c r="D19" s="91">
        <f>'RZIS '!O21</f>
        <v>9420346</v>
      </c>
      <c r="E19" s="91">
        <f>BILANS!O37-ZZWKW!D19</f>
        <v>174546252.66999999</v>
      </c>
      <c r="F19" s="147">
        <f>BILANS!O39</f>
        <v>2885830.19</v>
      </c>
      <c r="G19" s="91">
        <f t="shared" ref="G19:G24" si="0">SUM(B19:F19)</f>
        <v>208912833.19999999</v>
      </c>
    </row>
    <row r="20" spans="1:8" ht="35.1" customHeight="1">
      <c r="A20" s="94" t="s">
        <v>188</v>
      </c>
      <c r="B20" s="92">
        <v>21854000</v>
      </c>
      <c r="C20" s="92">
        <v>629341.76</v>
      </c>
      <c r="D20" s="92">
        <f>'RZIS '!N21</f>
        <v>2437744.749999987</v>
      </c>
      <c r="E20" s="92">
        <f>BILANS!N37-D20</f>
        <v>174900225.97999999</v>
      </c>
      <c r="F20" s="148">
        <v>2623586.06</v>
      </c>
      <c r="G20" s="92">
        <f t="shared" si="0"/>
        <v>202444898.54999998</v>
      </c>
    </row>
    <row r="21" spans="1:8" ht="35.1" customHeight="1">
      <c r="A21" s="93" t="s">
        <v>190</v>
      </c>
      <c r="B21" s="91">
        <v>21854000</v>
      </c>
      <c r="C21" s="238">
        <v>596217.72</v>
      </c>
      <c r="D21" s="238">
        <f>'RZIS '!M21</f>
        <v>2211037.7899999944</v>
      </c>
      <c r="E21" s="238">
        <f>BILANS!M37-'RZIS '!M21</f>
        <v>173341077.09999999</v>
      </c>
      <c r="F21" s="238">
        <v>2607026.75</v>
      </c>
      <c r="G21" s="239">
        <f t="shared" si="0"/>
        <v>200609359.35999998</v>
      </c>
      <c r="H21" s="212"/>
    </row>
    <row r="22" spans="1:8" ht="35.1" customHeight="1">
      <c r="A22" s="94" t="s">
        <v>191</v>
      </c>
      <c r="B22" s="92">
        <v>21854000</v>
      </c>
      <c r="C22" s="92">
        <f>BILANS!L36</f>
        <v>672672.74</v>
      </c>
      <c r="D22" s="92">
        <v>11507509.869999999</v>
      </c>
      <c r="E22" s="92">
        <f>BILANS!L37-ZZWKW!D22</f>
        <v>166367580.56999999</v>
      </c>
      <c r="F22" s="148">
        <f>BILANS!L39</f>
        <v>2492781.54</v>
      </c>
      <c r="G22" s="92">
        <f t="shared" si="0"/>
        <v>202894544.72</v>
      </c>
    </row>
    <row r="23" spans="1:8" ht="35.1" customHeight="1">
      <c r="A23" s="93" t="s">
        <v>194</v>
      </c>
      <c r="B23" s="91">
        <v>21854000</v>
      </c>
      <c r="C23" s="91">
        <f>BILANS!K36</f>
        <v>862826.9</v>
      </c>
      <c r="D23" s="91">
        <v>-2632754.13</v>
      </c>
      <c r="E23" s="91">
        <f>BILANS!K37-D23</f>
        <v>186253791.76999998</v>
      </c>
      <c r="F23" s="147">
        <f>BILANS!K39</f>
        <v>2557512.67</v>
      </c>
      <c r="G23" s="91">
        <f t="shared" si="0"/>
        <v>208895377.20999998</v>
      </c>
    </row>
    <row r="24" spans="1:8" s="242" customFormat="1" ht="35.1" customHeight="1">
      <c r="A24" s="243" t="s">
        <v>197</v>
      </c>
      <c r="B24" s="236">
        <f>BILANS!J35</f>
        <v>21854000</v>
      </c>
      <c r="C24" s="236">
        <f>BILANS!J36</f>
        <v>895574.93</v>
      </c>
      <c r="D24" s="236">
        <f>D23-137674.41</f>
        <v>-2770428.54</v>
      </c>
      <c r="E24" s="236">
        <f>BILANS!J37-D24</f>
        <v>183165181.28665027</v>
      </c>
      <c r="F24" s="237">
        <f>BILANS!J39</f>
        <v>2476419.5570567362</v>
      </c>
      <c r="G24" s="236">
        <f t="shared" si="0"/>
        <v>205620747.23370701</v>
      </c>
    </row>
    <row r="25" spans="1:8" ht="35.1" customHeight="1">
      <c r="A25" s="93" t="s">
        <v>198</v>
      </c>
      <c r="B25" s="91">
        <v>21854000</v>
      </c>
      <c r="C25" s="91">
        <v>1232917.5699999998</v>
      </c>
      <c r="D25" s="91">
        <f>-3542000+[1]Arkusz1!$D$6+[1]Arkusz1!$D$7</f>
        <v>5953298.2999999998</v>
      </c>
      <c r="E25" s="91">
        <f>BILANS!I37-D25</f>
        <v>179871691.28751194</v>
      </c>
      <c r="F25" s="147">
        <v>1848893.0599999998</v>
      </c>
      <c r="G25" s="91">
        <f t="shared" ref="G25" si="1">SUM(B25:F25)</f>
        <v>210760800.21751195</v>
      </c>
    </row>
    <row r="26" spans="1:8" ht="35.1" customHeight="1">
      <c r="A26" s="94" t="s">
        <v>199</v>
      </c>
      <c r="B26" s="92">
        <v>21854000</v>
      </c>
      <c r="C26" s="92">
        <f>BILANS!H36</f>
        <v>1450158.46</v>
      </c>
      <c r="D26" s="92">
        <f>D25+'RZIS '!H22</f>
        <v>9240271.5438467264</v>
      </c>
      <c r="E26" s="92">
        <f>BILANS!H37-D26</f>
        <v>179871691.2825</v>
      </c>
      <c r="F26" s="148">
        <f>BILANS!H39</f>
        <v>1698604.4688000006</v>
      </c>
      <c r="G26" s="92">
        <f t="shared" ref="G26" si="2">SUM(B26:F26)</f>
        <v>214114725.75514674</v>
      </c>
    </row>
    <row r="27" spans="1:8" ht="35.1" customHeight="1">
      <c r="A27" s="93" t="s">
        <v>202</v>
      </c>
      <c r="B27" s="91">
        <v>21854000</v>
      </c>
      <c r="C27" s="91">
        <f>BILANS!G36</f>
        <v>1730698.86</v>
      </c>
      <c r="D27" s="91">
        <f>D25-'RZIS '!I21+'RZIS '!G22</f>
        <v>-1307508.1777125103</v>
      </c>
      <c r="E27" s="91">
        <f>BILANS!G37-ZZWKW!D27</f>
        <v>191069654.31972009</v>
      </c>
      <c r="F27" s="147">
        <f>BILANS!G39</f>
        <v>1488269.4148000001</v>
      </c>
      <c r="G27" s="91">
        <f t="shared" ref="G27:G28" si="3">SUM(B27:F27)</f>
        <v>214835114.41680756</v>
      </c>
    </row>
    <row r="28" spans="1:8" ht="34.15" customHeight="1">
      <c r="A28" s="243" t="s">
        <v>208</v>
      </c>
      <c r="B28" s="92">
        <v>21854000</v>
      </c>
      <c r="C28" s="236">
        <f>BILANS!F36</f>
        <v>1057380.67</v>
      </c>
      <c r="D28" s="236">
        <f>D25-'RZIS '!I21+'RZIS '!F22</f>
        <v>-438029.59040902276</v>
      </c>
      <c r="E28" s="236">
        <f>BILANS!F37-D28</f>
        <v>191069654.3207202</v>
      </c>
      <c r="F28" s="237">
        <f>BILANS!F39</f>
        <v>1370816.3008000008</v>
      </c>
      <c r="G28" s="236">
        <f t="shared" si="3"/>
        <v>214913821.70111117</v>
      </c>
    </row>
    <row r="29" spans="1:8" ht="34.15" customHeight="1">
      <c r="A29" s="93" t="s">
        <v>209</v>
      </c>
      <c r="B29" s="91">
        <v>21854000</v>
      </c>
      <c r="C29" s="91">
        <f>BILANS!E36</f>
        <v>84167.13</v>
      </c>
      <c r="D29" s="91">
        <f>BILANS!E37-ZZWKW!E29</f>
        <v>-2329373.3223446012</v>
      </c>
      <c r="E29" s="91">
        <f>E28</f>
        <v>191069654.3207202</v>
      </c>
      <c r="F29" s="147">
        <f>BILANS!E39</f>
        <v>1227180.0708000003</v>
      </c>
      <c r="G29" s="91">
        <f t="shared" ref="G29" si="4">SUM(B29:F29)</f>
        <v>211905628.1991756</v>
      </c>
    </row>
    <row r="30" spans="1:8" ht="34.15" customHeight="1">
      <c r="A30" s="94" t="s">
        <v>211</v>
      </c>
      <c r="B30" s="92">
        <v>21854000</v>
      </c>
      <c r="C30" s="92">
        <f>BILANS!D36</f>
        <v>47874.94</v>
      </c>
      <c r="D30" s="92">
        <f>D29+'RZIS '!D21+106440.7</f>
        <v>4044975.7781411894</v>
      </c>
      <c r="E30" s="92">
        <f>E29</f>
        <v>191069654.3207202</v>
      </c>
      <c r="F30" s="148">
        <f>BILANS!D39</f>
        <v>1114414.3428000004</v>
      </c>
      <c r="G30" s="92">
        <f t="shared" ref="G30" si="5">SUM(B30:F30)</f>
        <v>218130919.38166139</v>
      </c>
    </row>
    <row r="31" spans="1:8" ht="34.15" customHeight="1">
      <c r="A31" s="93" t="s">
        <v>213</v>
      </c>
      <c r="B31" s="91">
        <v>21854000</v>
      </c>
      <c r="C31" s="91">
        <f>BILANS!C36</f>
        <v>126021.33</v>
      </c>
      <c r="D31" s="91">
        <f>-2332806.89+5191774.17-5671117.84</f>
        <v>-2812150.56</v>
      </c>
      <c r="E31" s="91">
        <f>BILANS!C37-D31</f>
        <v>196744205.72609985</v>
      </c>
      <c r="F31" s="147">
        <f>BILANS!C39</f>
        <v>926695.81200000038</v>
      </c>
      <c r="G31" s="91">
        <f>SUM(B31:F31)</f>
        <v>216838772.30809987</v>
      </c>
      <c r="H31" s="240"/>
    </row>
    <row r="32" spans="1:8" ht="27" customHeight="1">
      <c r="A32" s="243" t="s">
        <v>216</v>
      </c>
      <c r="B32" s="236">
        <v>21854000</v>
      </c>
      <c r="C32" s="236">
        <f>BILANS!B36</f>
        <v>220323.47</v>
      </c>
      <c r="D32" s="236">
        <f>-2332806.89+1523656.3-5671117.84</f>
        <v>-6480268.4299999997</v>
      </c>
      <c r="E32" s="236">
        <f>BILANS!B37-D32</f>
        <v>196744205.73000002</v>
      </c>
      <c r="F32" s="237">
        <f>BILANS!B39</f>
        <v>1524816.07</v>
      </c>
      <c r="G32" s="468">
        <f>SUM(B32:F32)</f>
        <v>213863076.84</v>
      </c>
    </row>
    <row r="33" spans="4:7" ht="27" customHeight="1">
      <c r="D33" s="240"/>
      <c r="G33" s="240"/>
    </row>
    <row r="34" spans="4:7" ht="27" customHeight="1"/>
    <row r="35" spans="4:7" ht="27" customHeight="1"/>
    <row r="36" spans="4:7" ht="27" customHeight="1"/>
    <row r="37" spans="4:7" ht="27" customHeight="1"/>
    <row r="38" spans="4:7" ht="27" customHeight="1"/>
    <row r="39" spans="4:7" ht="27" customHeight="1"/>
  </sheetData>
  <mergeCells count="5">
    <mergeCell ref="D4:E4"/>
    <mergeCell ref="G4:G5"/>
    <mergeCell ref="C4:C5"/>
    <mergeCell ref="B4:B5"/>
    <mergeCell ref="A4:A5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
powered by PROFESCAPITAL</oddFooter>
  </headerFooter>
  <colBreaks count="1" manualBreakCount="1">
    <brk id="18" max="1048575" man="1"/>
  </colBreaks>
  <ignoredErrors>
    <ignoredError sqref="G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60"/>
  <sheetViews>
    <sheetView showGridLines="0" zoomScale="60" zoomScaleNormal="60" zoomScaleSheetLayoutView="20" zoomScalePageLayoutView="60" workbookViewId="0">
      <pane xSplit="1" topLeftCell="B1" activePane="topRight" state="frozen"/>
      <selection activeCell="A25" sqref="A25"/>
      <selection pane="topRight"/>
    </sheetView>
  </sheetViews>
  <sheetFormatPr defaultRowHeight="18.75"/>
  <cols>
    <col min="1" max="1" width="80.7109375" customWidth="1"/>
    <col min="2" max="5" width="21.7109375" customWidth="1"/>
    <col min="6" max="6" width="21.7109375" style="214" customWidth="1"/>
    <col min="7" max="7" width="21.7109375" customWidth="1"/>
    <col min="8" max="8" width="21.7109375" style="13" customWidth="1"/>
    <col min="9" max="28" width="21.7109375" customWidth="1"/>
  </cols>
  <sheetData>
    <row r="1" spans="1:29" ht="50.1" customHeight="1">
      <c r="A1" s="320" t="s">
        <v>160</v>
      </c>
      <c r="B1" s="245"/>
      <c r="C1" s="241"/>
      <c r="D1" s="229"/>
      <c r="E1" s="228"/>
      <c r="F1" s="213"/>
      <c r="G1" s="157"/>
      <c r="H1" s="162"/>
      <c r="I1" s="13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13"/>
      <c r="V1" s="3"/>
      <c r="W1" s="3"/>
      <c r="X1" s="3"/>
      <c r="Y1" s="3"/>
      <c r="Z1" s="3"/>
      <c r="AA1" s="3"/>
      <c r="AB1" s="3"/>
    </row>
    <row r="2" spans="1:29" ht="27.95" customHeight="1"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9" ht="27.95" customHeight="1">
      <c r="A3" s="343" t="s">
        <v>158</v>
      </c>
      <c r="B3" s="464" t="s">
        <v>151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</row>
    <row r="4" spans="1:29" ht="27.95" customHeight="1"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9" ht="27.95" customHeight="1">
      <c r="A5" s="332"/>
      <c r="B5" s="334" t="s">
        <v>215</v>
      </c>
      <c r="C5" s="218" t="s">
        <v>212</v>
      </c>
      <c r="D5" s="333" t="s">
        <v>214</v>
      </c>
      <c r="E5" s="218" t="s">
        <v>210</v>
      </c>
      <c r="F5" s="334" t="s">
        <v>207</v>
      </c>
      <c r="G5" s="218" t="s">
        <v>201</v>
      </c>
      <c r="H5" s="333" t="s">
        <v>200</v>
      </c>
      <c r="I5" s="218" t="s">
        <v>205</v>
      </c>
      <c r="J5" s="334" t="s">
        <v>195</v>
      </c>
      <c r="K5" s="218" t="s">
        <v>193</v>
      </c>
      <c r="L5" s="333" t="s">
        <v>192</v>
      </c>
      <c r="M5" s="218" t="s">
        <v>189</v>
      </c>
      <c r="N5" s="334" t="s">
        <v>187</v>
      </c>
      <c r="O5" s="218" t="s">
        <v>183</v>
      </c>
      <c r="P5" s="333" t="s">
        <v>164</v>
      </c>
      <c r="Q5" s="335" t="s">
        <v>117</v>
      </c>
      <c r="R5" s="334" t="s">
        <v>14</v>
      </c>
      <c r="S5" s="336" t="s">
        <v>15</v>
      </c>
      <c r="T5" s="333" t="s">
        <v>16</v>
      </c>
      <c r="U5" s="336" t="s">
        <v>17</v>
      </c>
      <c r="V5" s="334" t="s">
        <v>18</v>
      </c>
      <c r="W5" s="336" t="s">
        <v>19</v>
      </c>
      <c r="X5" s="333" t="s">
        <v>20</v>
      </c>
      <c r="Y5" s="336" t="s">
        <v>21</v>
      </c>
      <c r="Z5" s="334" t="s">
        <v>22</v>
      </c>
      <c r="AA5" s="336" t="s">
        <v>23</v>
      </c>
      <c r="AB5" s="334" t="s">
        <v>24</v>
      </c>
    </row>
    <row r="6" spans="1:29" ht="27.95" customHeight="1">
      <c r="A6" s="337" t="s">
        <v>115</v>
      </c>
      <c r="B6" s="340">
        <v>73322945.090000004</v>
      </c>
      <c r="C6" s="338">
        <v>53650751.219999999</v>
      </c>
      <c r="D6" s="339">
        <v>31806720.850000001</v>
      </c>
      <c r="E6" s="338">
        <v>98151715.489999995</v>
      </c>
      <c r="F6" s="340">
        <v>77269270.090000004</v>
      </c>
      <c r="G6" s="338">
        <v>46316756.49000001</v>
      </c>
      <c r="H6" s="339">
        <v>22850969.990000002</v>
      </c>
      <c r="I6" s="338">
        <v>122515123.84999999</v>
      </c>
      <c r="J6" s="340">
        <v>77563583.379999995</v>
      </c>
      <c r="K6" s="338">
        <v>53965840.270000003</v>
      </c>
      <c r="L6" s="339">
        <v>26067801.34</v>
      </c>
      <c r="M6" s="338">
        <v>98060785.109999999</v>
      </c>
      <c r="N6" s="340">
        <v>75524315.489999995</v>
      </c>
      <c r="O6" s="338">
        <v>52454903.229999997</v>
      </c>
      <c r="P6" s="339">
        <v>25968984.649999999</v>
      </c>
      <c r="Q6" s="342">
        <v>101276397.04000001</v>
      </c>
      <c r="R6" s="340">
        <v>84069182.360000014</v>
      </c>
      <c r="S6" s="342">
        <v>57056468.949999996</v>
      </c>
      <c r="T6" s="339">
        <v>25304413.77</v>
      </c>
      <c r="U6" s="342">
        <v>85108582.159999996</v>
      </c>
      <c r="V6" s="340">
        <v>70887888.400000006</v>
      </c>
      <c r="W6" s="342">
        <v>48726945.18</v>
      </c>
      <c r="X6" s="339">
        <v>22278309.289999995</v>
      </c>
      <c r="Y6" s="342">
        <v>74296009.840000004</v>
      </c>
      <c r="Z6" s="340">
        <v>58487000</v>
      </c>
      <c r="AA6" s="342">
        <v>39558000</v>
      </c>
      <c r="AB6" s="340">
        <v>19061000</v>
      </c>
      <c r="AC6" s="135"/>
    </row>
    <row r="7" spans="1:29" ht="27.95" customHeight="1">
      <c r="A7" s="151" t="s">
        <v>109</v>
      </c>
      <c r="B7" s="81">
        <v>10404221.51</v>
      </c>
      <c r="C7" s="201">
        <v>8320784.2800000003</v>
      </c>
      <c r="D7" s="82">
        <v>5749676.29</v>
      </c>
      <c r="E7" s="201">
        <v>13798575.660000002</v>
      </c>
      <c r="F7" s="81">
        <v>10981048.350000001</v>
      </c>
      <c r="G7" s="201">
        <v>9416720.2999999989</v>
      </c>
      <c r="H7" s="82">
        <v>5988537.9600000009</v>
      </c>
      <c r="I7" s="201">
        <v>9648568.5900000017</v>
      </c>
      <c r="J7" s="81">
        <v>7294201.7599999988</v>
      </c>
      <c r="K7" s="201">
        <v>9107409.8200000003</v>
      </c>
      <c r="L7" s="82">
        <v>5303475.01</v>
      </c>
      <c r="M7" s="201">
        <v>17916240.100000001</v>
      </c>
      <c r="N7" s="81">
        <v>11453080.289999999</v>
      </c>
      <c r="O7" s="201">
        <v>11255106.35</v>
      </c>
      <c r="P7" s="82">
        <v>5453653.1799999997</v>
      </c>
      <c r="Q7" s="80">
        <v>14359979.119999999</v>
      </c>
      <c r="R7" s="81">
        <v>11519910.429999998</v>
      </c>
      <c r="S7" s="80">
        <v>10060005.770000001</v>
      </c>
      <c r="T7" s="82">
        <v>6008348.9700000016</v>
      </c>
      <c r="U7" s="80">
        <v>21647811.460000001</v>
      </c>
      <c r="V7" s="81">
        <v>13517426.16</v>
      </c>
      <c r="W7" s="80">
        <v>11546466.68</v>
      </c>
      <c r="X7" s="82">
        <v>6950021.9799999995</v>
      </c>
      <c r="Y7" s="80">
        <v>20731597</v>
      </c>
      <c r="Z7" s="81">
        <v>15687000</v>
      </c>
      <c r="AA7" s="80">
        <v>14026000</v>
      </c>
      <c r="AB7" s="81">
        <v>9023000</v>
      </c>
      <c r="AC7" s="135"/>
    </row>
    <row r="8" spans="1:29" ht="27.95" customHeight="1">
      <c r="A8" s="152" t="s">
        <v>110</v>
      </c>
      <c r="B8" s="206">
        <f>SUM(B6:B7)</f>
        <v>83727166.600000009</v>
      </c>
      <c r="C8" s="202">
        <f>SUM(C6:C7)</f>
        <v>61971535.5</v>
      </c>
      <c r="D8" s="85">
        <f>SUM(D6:D7)</f>
        <v>37556397.140000001</v>
      </c>
      <c r="E8" s="202">
        <f>E6+E7</f>
        <v>111950291.14999999</v>
      </c>
      <c r="F8" s="84">
        <f>SUM(F6:F7)</f>
        <v>88250318.439999998</v>
      </c>
      <c r="G8" s="202">
        <f>G6+G7</f>
        <v>55733476.790000007</v>
      </c>
      <c r="H8" s="85">
        <f>SUM(H6:H7)</f>
        <v>28839507.950000003</v>
      </c>
      <c r="I8" s="202">
        <f>I6+I7</f>
        <v>132163692.44</v>
      </c>
      <c r="J8" s="84">
        <f>SUM(J6:J7)</f>
        <v>84857785.140000001</v>
      </c>
      <c r="K8" s="202">
        <f>K6+K7</f>
        <v>63073250.090000004</v>
      </c>
      <c r="L8" s="85">
        <f>SUM(L6:L7)</f>
        <v>31371276.350000001</v>
      </c>
      <c r="M8" s="202">
        <f>M6+M7</f>
        <v>115977025.21000001</v>
      </c>
      <c r="N8" s="84">
        <f>SUM(N6:N7)</f>
        <v>86977395.780000001</v>
      </c>
      <c r="O8" s="202">
        <f>O6+O7</f>
        <v>63710009.579999998</v>
      </c>
      <c r="P8" s="85">
        <v>31422637.829999998</v>
      </c>
      <c r="Q8" s="83">
        <v>115636376.16</v>
      </c>
      <c r="R8" s="84">
        <v>95589092.790000007</v>
      </c>
      <c r="S8" s="83">
        <v>67116474.719999999</v>
      </c>
      <c r="T8" s="85">
        <v>31312762.740000002</v>
      </c>
      <c r="U8" s="83">
        <v>106756393.62</v>
      </c>
      <c r="V8" s="84">
        <v>84405314.560000002</v>
      </c>
      <c r="W8" s="83">
        <v>60273411.859999999</v>
      </c>
      <c r="X8" s="85">
        <v>29228331.269999996</v>
      </c>
      <c r="Y8" s="83">
        <v>95027606.840000004</v>
      </c>
      <c r="Z8" s="84">
        <v>74174000</v>
      </c>
      <c r="AA8" s="83">
        <v>53584000</v>
      </c>
      <c r="AB8" s="84">
        <v>28084000</v>
      </c>
      <c r="AC8" s="135"/>
    </row>
    <row r="9" spans="1:29" ht="27.95" customHeight="1">
      <c r="A9" s="151"/>
      <c r="B9" s="81"/>
      <c r="C9" s="201"/>
      <c r="D9" s="82"/>
      <c r="E9" s="201"/>
      <c r="F9" s="81"/>
      <c r="G9" s="201"/>
      <c r="H9" s="82"/>
      <c r="I9" s="201"/>
      <c r="J9" s="81"/>
      <c r="K9" s="201"/>
      <c r="L9" s="82"/>
      <c r="M9" s="201"/>
      <c r="N9" s="81"/>
      <c r="O9" s="201"/>
      <c r="P9" s="82"/>
      <c r="Q9" s="80"/>
      <c r="R9" s="81"/>
      <c r="S9" s="80"/>
      <c r="T9" s="82"/>
      <c r="U9" s="80"/>
      <c r="V9" s="81"/>
      <c r="W9" s="80"/>
      <c r="X9" s="82"/>
      <c r="Y9" s="80"/>
      <c r="Z9" s="81"/>
      <c r="AA9" s="80"/>
      <c r="AB9" s="81"/>
      <c r="AC9" s="135"/>
    </row>
    <row r="10" spans="1:29" ht="27.95" customHeight="1">
      <c r="A10" s="151" t="s">
        <v>111</v>
      </c>
      <c r="B10" s="81">
        <v>67350053.640000001</v>
      </c>
      <c r="C10" s="201">
        <v>46448877.359999999</v>
      </c>
      <c r="D10" s="82">
        <v>24311247.805160172</v>
      </c>
      <c r="E10" s="201">
        <v>89688251.925033644</v>
      </c>
      <c r="F10" s="81">
        <v>70312842.968311831</v>
      </c>
      <c r="G10" s="201">
        <v>44019334.492694147</v>
      </c>
      <c r="H10" s="82">
        <v>21190515.720856484</v>
      </c>
      <c r="I10" s="201">
        <v>111150517.03682172</v>
      </c>
      <c r="J10" s="81">
        <v>79257473.898186624</v>
      </c>
      <c r="K10" s="201">
        <v>53348735.539999999</v>
      </c>
      <c r="L10" s="82">
        <v>26947405.16</v>
      </c>
      <c r="M10" s="201">
        <v>104234383.05</v>
      </c>
      <c r="N10" s="81">
        <v>78780176.790000007</v>
      </c>
      <c r="O10" s="201">
        <v>53380077.590000004</v>
      </c>
      <c r="P10" s="82">
        <v>26174766.850000001</v>
      </c>
      <c r="Q10" s="80">
        <v>97605714.629999995</v>
      </c>
      <c r="R10" s="81">
        <v>77913066.371766567</v>
      </c>
      <c r="S10" s="80">
        <v>53172143.894610092</v>
      </c>
      <c r="T10" s="82">
        <v>24610051.850000001</v>
      </c>
      <c r="U10" s="80">
        <v>80667692.329999998</v>
      </c>
      <c r="V10" s="81">
        <v>64508357.408906728</v>
      </c>
      <c r="W10" s="80">
        <v>45030921.781821497</v>
      </c>
      <c r="X10" s="82">
        <v>19497871.901716385</v>
      </c>
      <c r="Y10" s="80">
        <v>73118321.13922888</v>
      </c>
      <c r="Z10" s="81">
        <v>56672907.380000003</v>
      </c>
      <c r="AA10" s="80">
        <v>38077000</v>
      </c>
      <c r="AB10" s="81">
        <v>18176840.760000002</v>
      </c>
      <c r="AC10" s="135"/>
    </row>
    <row r="11" spans="1:29" ht="27.95" customHeight="1">
      <c r="A11" s="151" t="s">
        <v>112</v>
      </c>
      <c r="B11" s="81">
        <v>10476658.51</v>
      </c>
      <c r="C11" s="201">
        <v>8281255.4800000004</v>
      </c>
      <c r="D11" s="82">
        <v>5691845.29</v>
      </c>
      <c r="E11" s="201">
        <v>11802181.480120042</v>
      </c>
      <c r="F11" s="81">
        <v>10347918.470000003</v>
      </c>
      <c r="G11" s="201">
        <v>9083047.6099999994</v>
      </c>
      <c r="H11" s="82">
        <v>5687870.2800000012</v>
      </c>
      <c r="I11" s="201">
        <v>8885310.4400000013</v>
      </c>
      <c r="J11" s="81">
        <v>6232510.5267252764</v>
      </c>
      <c r="K11" s="201">
        <v>9181055.0399999991</v>
      </c>
      <c r="L11" s="82">
        <v>5244831.78</v>
      </c>
      <c r="M11" s="201">
        <v>16928918.77</v>
      </c>
      <c r="N11" s="81">
        <v>11577240.32</v>
      </c>
      <c r="O11" s="201">
        <v>11379389.640000001</v>
      </c>
      <c r="P11" s="82">
        <v>5567859.29</v>
      </c>
      <c r="Q11" s="80">
        <v>14209127.93</v>
      </c>
      <c r="R11" s="81">
        <v>11510315.679999998</v>
      </c>
      <c r="S11" s="80">
        <v>10054184.150000002</v>
      </c>
      <c r="T11" s="82">
        <v>5880424.4000000004</v>
      </c>
      <c r="U11" s="80">
        <v>21993602.789999999</v>
      </c>
      <c r="V11" s="81">
        <v>13713296.060000001</v>
      </c>
      <c r="W11" s="80">
        <v>11568033.57</v>
      </c>
      <c r="X11" s="82">
        <v>6533216.8599999994</v>
      </c>
      <c r="Y11" s="80">
        <v>20360300</v>
      </c>
      <c r="Z11" s="81">
        <v>15712000</v>
      </c>
      <c r="AA11" s="80">
        <v>13923000</v>
      </c>
      <c r="AB11" s="81">
        <v>8964000</v>
      </c>
      <c r="AC11" s="135"/>
    </row>
    <row r="12" spans="1:29" ht="27.95" customHeight="1">
      <c r="A12" s="152" t="s">
        <v>113</v>
      </c>
      <c r="B12" s="84">
        <f>SUM(B10:B11)</f>
        <v>77826712.150000006</v>
      </c>
      <c r="C12" s="202">
        <f>SUM(C10:C11)</f>
        <v>54730132.840000004</v>
      </c>
      <c r="D12" s="85">
        <f>SUM(D10:D11)</f>
        <v>30003093.095160171</v>
      </c>
      <c r="E12" s="202">
        <f>E10+E11</f>
        <v>101490433.40515369</v>
      </c>
      <c r="F12" s="84">
        <f>SUM(F10:F11)</f>
        <v>80660761.43831183</v>
      </c>
      <c r="G12" s="202">
        <f>G10+G11</f>
        <v>53102382.102694146</v>
      </c>
      <c r="H12" s="85">
        <f>SUM(H10:H11)</f>
        <v>26878386.000856485</v>
      </c>
      <c r="I12" s="202">
        <f>I10+I11</f>
        <v>120035827.47682172</v>
      </c>
      <c r="J12" s="84">
        <f>SUM(J10:J11)</f>
        <v>85489984.424911901</v>
      </c>
      <c r="K12" s="202">
        <f>K10+K11</f>
        <v>62529790.579999998</v>
      </c>
      <c r="L12" s="85">
        <f>SUM(L10:L11)</f>
        <v>32192236.940000001</v>
      </c>
      <c r="M12" s="202">
        <f>M10+M11</f>
        <v>121163301.81999999</v>
      </c>
      <c r="N12" s="84">
        <f>SUM(N10:N11)</f>
        <v>90357417.110000014</v>
      </c>
      <c r="O12" s="202">
        <f>O10+O11</f>
        <v>64759467.230000004</v>
      </c>
      <c r="P12" s="85">
        <v>31742626.140000001</v>
      </c>
      <c r="Q12" s="83">
        <v>111814842.56</v>
      </c>
      <c r="R12" s="84">
        <v>89423382.051766559</v>
      </c>
      <c r="S12" s="83">
        <v>63226328.044610098</v>
      </c>
      <c r="T12" s="85">
        <v>30490476.25</v>
      </c>
      <c r="U12" s="83">
        <v>102661295.12</v>
      </c>
      <c r="V12" s="84">
        <v>78221653.46890673</v>
      </c>
      <c r="W12" s="83">
        <v>56598955.351821497</v>
      </c>
      <c r="X12" s="85">
        <v>26031088.761716384</v>
      </c>
      <c r="Y12" s="83">
        <v>93478621.13922888</v>
      </c>
      <c r="Z12" s="84">
        <v>72384907.379999995</v>
      </c>
      <c r="AA12" s="83">
        <v>52000000</v>
      </c>
      <c r="AB12" s="84">
        <v>27140840.760000002</v>
      </c>
      <c r="AC12" s="135"/>
    </row>
    <row r="13" spans="1:29" ht="27.95" customHeight="1">
      <c r="A13" s="151"/>
      <c r="B13" s="81"/>
      <c r="C13" s="201"/>
      <c r="D13" s="82"/>
      <c r="E13" s="201"/>
      <c r="F13" s="81"/>
      <c r="G13" s="201"/>
      <c r="H13" s="82"/>
      <c r="I13" s="201"/>
      <c r="J13" s="81"/>
      <c r="K13" s="201"/>
      <c r="L13" s="82"/>
      <c r="M13" s="201"/>
      <c r="N13" s="81"/>
      <c r="O13" s="201"/>
      <c r="P13" s="82"/>
      <c r="Q13" s="80"/>
      <c r="R13" s="81"/>
      <c r="S13" s="80"/>
      <c r="T13" s="82"/>
      <c r="U13" s="80"/>
      <c r="V13" s="81"/>
      <c r="W13" s="80"/>
      <c r="X13" s="82"/>
      <c r="Y13" s="80"/>
      <c r="Z13" s="81"/>
      <c r="AA13" s="80"/>
      <c r="AB13" s="81"/>
      <c r="AC13" s="135"/>
    </row>
    <row r="14" spans="1:29" ht="27.95" customHeight="1">
      <c r="A14" s="152" t="s">
        <v>114</v>
      </c>
      <c r="B14" s="206">
        <f>B8-B12</f>
        <v>5900454.450000003</v>
      </c>
      <c r="C14" s="202">
        <f>C8-C12</f>
        <v>7241402.6599999964</v>
      </c>
      <c r="D14" s="85">
        <f t="shared" ref="D14" si="0">D8-D12</f>
        <v>7553304.0448398292</v>
      </c>
      <c r="E14" s="202">
        <f t="shared" ref="E14:G14" si="1">E8-E12</f>
        <v>10459857.744846299</v>
      </c>
      <c r="F14" s="84">
        <f t="shared" ref="F14" si="2">F8-F12</f>
        <v>7589557.0016881675</v>
      </c>
      <c r="G14" s="202">
        <f t="shared" si="1"/>
        <v>2631094.6873058602</v>
      </c>
      <c r="H14" s="85">
        <f t="shared" ref="H14" si="3">H8-H12</f>
        <v>1961121.9491435178</v>
      </c>
      <c r="I14" s="202">
        <f t="shared" ref="I14" si="4">I8-I12</f>
        <v>12127864.963178277</v>
      </c>
      <c r="J14" s="84">
        <f t="shared" ref="J14:O14" si="5">J8-J12</f>
        <v>-632199.28491190076</v>
      </c>
      <c r="K14" s="202">
        <f t="shared" si="5"/>
        <v>543459.51000000536</v>
      </c>
      <c r="L14" s="85">
        <f t="shared" si="5"/>
        <v>-820960.58999999985</v>
      </c>
      <c r="M14" s="202">
        <f t="shared" si="5"/>
        <v>-5186276.6099999845</v>
      </c>
      <c r="N14" s="84">
        <f t="shared" si="5"/>
        <v>-3380021.3300000131</v>
      </c>
      <c r="O14" s="202">
        <f t="shared" si="5"/>
        <v>-1049457.650000006</v>
      </c>
      <c r="P14" s="85">
        <v>-319988.31</v>
      </c>
      <c r="Q14" s="83">
        <v>3821533.6</v>
      </c>
      <c r="R14" s="84">
        <v>6165710.7382334471</v>
      </c>
      <c r="S14" s="83">
        <v>3890146.6753899008</v>
      </c>
      <c r="T14" s="85">
        <v>822286.49</v>
      </c>
      <c r="U14" s="83">
        <v>4095098.5</v>
      </c>
      <c r="V14" s="84">
        <v>6183661.091093272</v>
      </c>
      <c r="W14" s="83">
        <v>3674456.5081785023</v>
      </c>
      <c r="X14" s="85">
        <v>3197242.5082836114</v>
      </c>
      <c r="Y14" s="83">
        <v>1548985.7007711232</v>
      </c>
      <c r="Z14" s="84">
        <v>1789092.6200000048</v>
      </c>
      <c r="AA14" s="83">
        <v>1584000</v>
      </c>
      <c r="AB14" s="84">
        <v>943159.23999999836</v>
      </c>
      <c r="AC14" s="135"/>
    </row>
    <row r="15" spans="1:29" ht="27.95" customHeight="1">
      <c r="A15" s="7"/>
      <c r="B15" s="7"/>
      <c r="C15" s="7"/>
      <c r="D15" s="7"/>
      <c r="E15" s="7"/>
      <c r="F15" s="7"/>
      <c r="G15" s="7"/>
      <c r="H15" s="215"/>
      <c r="I15" s="7"/>
      <c r="J15" s="200"/>
      <c r="K15" s="122"/>
      <c r="L15" s="118"/>
      <c r="M15" s="119"/>
      <c r="N15" s="119"/>
      <c r="O15" s="119"/>
      <c r="P15" s="118"/>
      <c r="Q15" s="8"/>
      <c r="R15" s="8"/>
      <c r="S15" s="8"/>
      <c r="T15" s="8"/>
      <c r="U15" s="8"/>
      <c r="V15" s="8"/>
      <c r="W15" s="8"/>
    </row>
    <row r="16" spans="1:29" ht="27.95" customHeight="1">
      <c r="A16" s="7"/>
      <c r="B16" s="458"/>
      <c r="C16" s="458"/>
      <c r="D16" s="7"/>
      <c r="E16" s="7"/>
      <c r="F16" s="215"/>
      <c r="G16" s="7"/>
      <c r="H16" s="200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9" ht="27.95" customHeight="1">
      <c r="A17" s="343" t="s">
        <v>157</v>
      </c>
      <c r="B17" s="464" t="s">
        <v>151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</row>
    <row r="18" spans="1:29" ht="20.25" customHeight="1">
      <c r="A18" s="7"/>
      <c r="B18" s="7"/>
      <c r="C18" s="7"/>
      <c r="D18" s="7"/>
      <c r="E18" s="7"/>
      <c r="F18" s="7"/>
      <c r="G18" s="215"/>
      <c r="H18" s="7"/>
      <c r="I18" s="20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9" ht="27.95" customHeight="1">
      <c r="A19" s="332"/>
      <c r="B19" s="334" t="s">
        <v>215</v>
      </c>
      <c r="C19" s="218" t="s">
        <v>212</v>
      </c>
      <c r="D19" s="333" t="s">
        <v>200</v>
      </c>
      <c r="E19" s="218" t="s">
        <v>210</v>
      </c>
      <c r="F19" s="334" t="s">
        <v>207</v>
      </c>
      <c r="G19" s="218" t="s">
        <v>201</v>
      </c>
      <c r="H19" s="333" t="s">
        <v>200</v>
      </c>
      <c r="I19" s="218" t="s">
        <v>205</v>
      </c>
      <c r="J19" s="334" t="s">
        <v>195</v>
      </c>
      <c r="K19" s="218" t="s">
        <v>193</v>
      </c>
      <c r="L19" s="333" t="s">
        <v>192</v>
      </c>
      <c r="M19" s="218" t="s">
        <v>189</v>
      </c>
      <c r="N19" s="334" t="s">
        <v>187</v>
      </c>
      <c r="O19" s="218" t="s">
        <v>183</v>
      </c>
      <c r="P19" s="333" t="s">
        <v>164</v>
      </c>
      <c r="Q19" s="335" t="s">
        <v>117</v>
      </c>
      <c r="R19" s="334" t="s">
        <v>14</v>
      </c>
      <c r="S19" s="336" t="s">
        <v>15</v>
      </c>
      <c r="T19" s="333" t="s">
        <v>16</v>
      </c>
      <c r="U19" s="336" t="s">
        <v>17</v>
      </c>
      <c r="V19" s="334" t="s">
        <v>18</v>
      </c>
      <c r="W19" s="336" t="s">
        <v>19</v>
      </c>
      <c r="X19" s="333" t="s">
        <v>20</v>
      </c>
      <c r="Y19" s="336" t="s">
        <v>21</v>
      </c>
      <c r="Z19" s="334" t="s">
        <v>22</v>
      </c>
      <c r="AA19" s="336" t="s">
        <v>23</v>
      </c>
      <c r="AB19" s="334" t="s">
        <v>24</v>
      </c>
    </row>
    <row r="20" spans="1:29" ht="27.95" customHeight="1">
      <c r="A20" s="337" t="s">
        <v>115</v>
      </c>
      <c r="B20" s="340">
        <v>74310017.620000005</v>
      </c>
      <c r="C20" s="338">
        <v>65089077.350000001</v>
      </c>
      <c r="D20" s="339">
        <v>33279017.469999999</v>
      </c>
      <c r="E20" s="338">
        <v>84394028.049999997</v>
      </c>
      <c r="F20" s="340">
        <v>74742908.780000016</v>
      </c>
      <c r="G20" s="338">
        <v>63420013.590000004</v>
      </c>
      <c r="H20" s="339">
        <v>30832614.060000002</v>
      </c>
      <c r="I20" s="338">
        <v>81355883.63000001</v>
      </c>
      <c r="J20" s="340">
        <v>73818457.079999998</v>
      </c>
      <c r="K20" s="338">
        <v>63104683.689999998</v>
      </c>
      <c r="L20" s="339">
        <v>34505661.890000001</v>
      </c>
      <c r="M20" s="338">
        <v>85444161.340000004</v>
      </c>
      <c r="N20" s="340">
        <v>79324615.650000006</v>
      </c>
      <c r="O20" s="338">
        <v>68841369.859999999</v>
      </c>
      <c r="P20" s="339">
        <v>34495191.420000002</v>
      </c>
      <c r="Q20" s="342">
        <v>87863222.150000006</v>
      </c>
      <c r="R20" s="340">
        <v>81831422.280000016</v>
      </c>
      <c r="S20" s="342">
        <v>73792204.850000009</v>
      </c>
      <c r="T20" s="339">
        <v>40025644.910000004</v>
      </c>
      <c r="U20" s="342">
        <v>84071828.719999999</v>
      </c>
      <c r="V20" s="340">
        <v>75100473.999999985</v>
      </c>
      <c r="W20" s="342">
        <v>66870153.159999996</v>
      </c>
      <c r="X20" s="339">
        <v>30779497.77</v>
      </c>
      <c r="Y20" s="342">
        <v>77497337.129999995</v>
      </c>
      <c r="Z20" s="340">
        <v>75094072.019999996</v>
      </c>
      <c r="AA20" s="342">
        <v>66584433.109999999</v>
      </c>
      <c r="AB20" s="340">
        <v>31245978.989999998</v>
      </c>
      <c r="AC20" s="136"/>
    </row>
    <row r="21" spans="1:29" ht="27.95" customHeight="1">
      <c r="A21" s="151" t="s">
        <v>109</v>
      </c>
      <c r="B21" s="81">
        <v>2706162.99</v>
      </c>
      <c r="C21" s="201">
        <v>2505004.65</v>
      </c>
      <c r="D21" s="82">
        <v>1937686.96</v>
      </c>
      <c r="E21" s="201">
        <v>17644204.760000002</v>
      </c>
      <c r="F21" s="81">
        <v>15980973.98</v>
      </c>
      <c r="G21" s="201">
        <v>13177931.52</v>
      </c>
      <c r="H21" s="82">
        <v>7592989.6499999994</v>
      </c>
      <c r="I21" s="201">
        <v>16824884.439999998</v>
      </c>
      <c r="J21" s="81">
        <v>10411509.27</v>
      </c>
      <c r="K21" s="201">
        <v>9414316.0999999996</v>
      </c>
      <c r="L21" s="82">
        <v>8066056.2699999996</v>
      </c>
      <c r="M21" s="201">
        <v>16961218.760000002</v>
      </c>
      <c r="N21" s="81">
        <v>10925337.859999999</v>
      </c>
      <c r="O21" s="201">
        <v>10732493.25</v>
      </c>
      <c r="P21" s="82">
        <v>8526580.4499999993</v>
      </c>
      <c r="Q21" s="80">
        <v>19070683.199999999</v>
      </c>
      <c r="R21" s="81">
        <v>12301947.779999999</v>
      </c>
      <c r="S21" s="80">
        <v>10576604.75</v>
      </c>
      <c r="T21" s="82">
        <v>7038287.6099999994</v>
      </c>
      <c r="U21" s="80">
        <v>16793001.199999999</v>
      </c>
      <c r="V21" s="81">
        <v>16377968.200000001</v>
      </c>
      <c r="W21" s="80">
        <v>3985585.9400000004</v>
      </c>
      <c r="X21" s="82">
        <v>7003451.9100000001</v>
      </c>
      <c r="Y21" s="80">
        <v>22264109.140000001</v>
      </c>
      <c r="Z21" s="81">
        <v>13340000</v>
      </c>
      <c r="AA21" s="80">
        <v>13649000</v>
      </c>
      <c r="AB21" s="81">
        <v>7026000</v>
      </c>
      <c r="AC21" s="136"/>
    </row>
    <row r="22" spans="1:29" ht="27.95" customHeight="1">
      <c r="A22" s="152" t="s">
        <v>110</v>
      </c>
      <c r="B22" s="84">
        <f>SUM(B20:B21)</f>
        <v>77016180.609999999</v>
      </c>
      <c r="C22" s="202">
        <f>SUM(C20:C21)</f>
        <v>67594082</v>
      </c>
      <c r="D22" s="85">
        <f>SUM(D20:D21)</f>
        <v>35216704.43</v>
      </c>
      <c r="E22" s="202">
        <f>E20+E21</f>
        <v>102038232.81</v>
      </c>
      <c r="F22" s="84">
        <f>SUM(F20:F21)</f>
        <v>90723882.76000002</v>
      </c>
      <c r="G22" s="202">
        <f>G20+G21</f>
        <v>76597945.109999999</v>
      </c>
      <c r="H22" s="85">
        <f>SUM(H20:H21)</f>
        <v>38425603.710000001</v>
      </c>
      <c r="I22" s="202">
        <f>I20+I21</f>
        <v>98180768.070000008</v>
      </c>
      <c r="J22" s="84">
        <f>SUM(J20:J21)</f>
        <v>84229966.349999994</v>
      </c>
      <c r="K22" s="202">
        <f>K20+K21</f>
        <v>72518999.789999992</v>
      </c>
      <c r="L22" s="85">
        <f>SUM(L20:L21)</f>
        <v>42571718.159999996</v>
      </c>
      <c r="M22" s="202">
        <f>M20+M21</f>
        <v>102405380.10000001</v>
      </c>
      <c r="N22" s="84">
        <f>SUM(N20:N21)</f>
        <v>90249953.510000005</v>
      </c>
      <c r="O22" s="202">
        <f>O20+O21</f>
        <v>79573863.109999999</v>
      </c>
      <c r="P22" s="85">
        <v>43021771.869999997</v>
      </c>
      <c r="Q22" s="83">
        <v>106933905.34999999</v>
      </c>
      <c r="R22" s="84">
        <v>94133370.060000017</v>
      </c>
      <c r="S22" s="83">
        <v>84368809.600000009</v>
      </c>
      <c r="T22" s="85">
        <v>47063932.520000003</v>
      </c>
      <c r="U22" s="83">
        <v>100864829.92</v>
      </c>
      <c r="V22" s="84">
        <v>91478442.199999988</v>
      </c>
      <c r="W22" s="83">
        <v>70855739.099999994</v>
      </c>
      <c r="X22" s="85">
        <v>37782949.68</v>
      </c>
      <c r="Y22" s="83">
        <v>99761446.269999996</v>
      </c>
      <c r="Z22" s="84">
        <v>88434072.019999996</v>
      </c>
      <c r="AA22" s="83">
        <v>80233433.109999999</v>
      </c>
      <c r="AB22" s="84">
        <v>38271978.989999995</v>
      </c>
      <c r="AC22" s="136"/>
    </row>
    <row r="23" spans="1:29" ht="27.95" customHeight="1">
      <c r="A23" s="151"/>
      <c r="B23" s="81"/>
      <c r="C23" s="201"/>
      <c r="D23" s="82"/>
      <c r="E23" s="201"/>
      <c r="F23" s="81"/>
      <c r="G23" s="201"/>
      <c r="H23" s="82"/>
      <c r="I23" s="201"/>
      <c r="J23" s="81"/>
      <c r="K23" s="201"/>
      <c r="L23" s="82"/>
      <c r="M23" s="201"/>
      <c r="N23" s="81"/>
      <c r="O23" s="201"/>
      <c r="P23" s="82"/>
      <c r="Q23" s="80"/>
      <c r="R23" s="81"/>
      <c r="S23" s="80"/>
      <c r="T23" s="82"/>
      <c r="U23" s="80"/>
      <c r="V23" s="81"/>
      <c r="W23" s="80"/>
      <c r="X23" s="82"/>
      <c r="Y23" s="80"/>
      <c r="Z23" s="81"/>
      <c r="AA23" s="80"/>
      <c r="AB23" s="81"/>
      <c r="AC23" s="136"/>
    </row>
    <row r="24" spans="1:29" ht="27.95" customHeight="1">
      <c r="A24" s="151" t="s">
        <v>111</v>
      </c>
      <c r="B24" s="81">
        <v>71038695.590000004</v>
      </c>
      <c r="C24" s="201">
        <v>60221426.060000002</v>
      </c>
      <c r="D24" s="82">
        <v>30324299.02</v>
      </c>
      <c r="E24" s="201">
        <v>84624065.090000004</v>
      </c>
      <c r="F24" s="81">
        <v>70364342.659999996</v>
      </c>
      <c r="G24" s="201">
        <v>56821151.5</v>
      </c>
      <c r="H24" s="82">
        <v>27198142.670000002</v>
      </c>
      <c r="I24" s="201">
        <v>77828897.049999997</v>
      </c>
      <c r="J24" s="81">
        <v>65733185.769999996</v>
      </c>
      <c r="K24" s="201">
        <v>53618765.369999997</v>
      </c>
      <c r="L24" s="82">
        <v>28863350.82</v>
      </c>
      <c r="M24" s="201">
        <v>86331312.340000004</v>
      </c>
      <c r="N24" s="81">
        <v>76737961.980000004</v>
      </c>
      <c r="O24" s="201">
        <v>60401801.409999996</v>
      </c>
      <c r="P24" s="82">
        <v>30758296.550000001</v>
      </c>
      <c r="Q24" s="80">
        <v>82057864.469999999</v>
      </c>
      <c r="R24" s="81">
        <v>71955752.329999983</v>
      </c>
      <c r="S24" s="80">
        <v>60458333.190000005</v>
      </c>
      <c r="T24" s="82">
        <v>34356595.5</v>
      </c>
      <c r="U24" s="80">
        <v>81868245.321276397</v>
      </c>
      <c r="V24" s="81">
        <v>69497228.930000007</v>
      </c>
      <c r="W24" s="80">
        <v>58685170.549999997</v>
      </c>
      <c r="X24" s="82">
        <v>27922779.120000001</v>
      </c>
      <c r="Y24" s="80">
        <v>76391194.569999993</v>
      </c>
      <c r="Z24" s="81">
        <v>68140408.969999999</v>
      </c>
      <c r="AA24" s="80">
        <v>57713310.899999999</v>
      </c>
      <c r="AB24" s="81">
        <v>26535802.989999998</v>
      </c>
      <c r="AC24" s="136"/>
    </row>
    <row r="25" spans="1:29" ht="27.95" customHeight="1">
      <c r="A25" s="151" t="s">
        <v>112</v>
      </c>
      <c r="B25" s="81">
        <v>2725004.03</v>
      </c>
      <c r="C25" s="201">
        <v>2493104.35</v>
      </c>
      <c r="D25" s="82">
        <v>1918197.45</v>
      </c>
      <c r="E25" s="201">
        <v>15810382.533789907</v>
      </c>
      <c r="F25" s="81">
        <v>14717469.790000001</v>
      </c>
      <c r="G25" s="201">
        <v>12433205.899999999</v>
      </c>
      <c r="H25" s="82">
        <v>7173894.709999999</v>
      </c>
      <c r="I25" s="201">
        <v>16355752.479999999</v>
      </c>
      <c r="J25" s="81">
        <v>11250870.35</v>
      </c>
      <c r="K25" s="201">
        <v>9490443.0600000005</v>
      </c>
      <c r="L25" s="82">
        <v>7986475.7300000004</v>
      </c>
      <c r="M25" s="201">
        <v>16829311.550000001</v>
      </c>
      <c r="N25" s="81">
        <v>11054169.449999999</v>
      </c>
      <c r="O25" s="201">
        <v>10887723.189999999</v>
      </c>
      <c r="P25" s="82">
        <v>8682943.8100000005</v>
      </c>
      <c r="Q25" s="80">
        <v>18931184.649999999</v>
      </c>
      <c r="R25" s="81">
        <v>12292499.149999999</v>
      </c>
      <c r="S25" s="80">
        <v>10570484.18</v>
      </c>
      <c r="T25" s="82">
        <v>6888434.4799999995</v>
      </c>
      <c r="U25" s="80">
        <v>17061244.219999999</v>
      </c>
      <c r="V25" s="81">
        <v>16615287.869999999</v>
      </c>
      <c r="W25" s="80">
        <v>3993030.35</v>
      </c>
      <c r="X25" s="82">
        <v>6583442.5099999998</v>
      </c>
      <c r="Y25" s="80">
        <v>22182275.670000002</v>
      </c>
      <c r="Z25" s="81">
        <v>13108000</v>
      </c>
      <c r="AA25" s="80">
        <v>13588000</v>
      </c>
      <c r="AB25" s="81">
        <v>6745000</v>
      </c>
      <c r="AC25" s="136"/>
    </row>
    <row r="26" spans="1:29" ht="27.95" customHeight="1">
      <c r="A26" s="152" t="s">
        <v>113</v>
      </c>
      <c r="B26" s="84">
        <f>SUM(B24:B25)</f>
        <v>73763699.620000005</v>
      </c>
      <c r="C26" s="202">
        <f>SUM(C24:C25)</f>
        <v>62714530.410000004</v>
      </c>
      <c r="D26" s="85">
        <f>SUM(D24:D25)</f>
        <v>32242496.469999999</v>
      </c>
      <c r="E26" s="202">
        <f>E24+E25</f>
        <v>100434447.62378991</v>
      </c>
      <c r="F26" s="84">
        <f>SUM(F24:F25)</f>
        <v>85081812.450000003</v>
      </c>
      <c r="G26" s="202">
        <f>G24+G25</f>
        <v>69254357.400000006</v>
      </c>
      <c r="H26" s="85">
        <f>SUM(H24:H25)</f>
        <v>34372037.380000003</v>
      </c>
      <c r="I26" s="202">
        <f>I24+I25</f>
        <v>94184649.530000001</v>
      </c>
      <c r="J26" s="84">
        <f>SUM(J24:J25)</f>
        <v>76984056.11999999</v>
      </c>
      <c r="K26" s="202">
        <f>K24+K25</f>
        <v>63109208.43</v>
      </c>
      <c r="L26" s="85">
        <f>SUM(L24:L25)</f>
        <v>36849826.549999997</v>
      </c>
      <c r="M26" s="202">
        <f>M24+M25</f>
        <v>103160623.89</v>
      </c>
      <c r="N26" s="84">
        <f>SUM(N24:N25)</f>
        <v>87792131.430000007</v>
      </c>
      <c r="O26" s="202">
        <f>O24+O25</f>
        <v>71289524.599999994</v>
      </c>
      <c r="P26" s="85">
        <v>39441240.359999999</v>
      </c>
      <c r="Q26" s="83">
        <v>100989049.12</v>
      </c>
      <c r="R26" s="84">
        <v>84248251.479999989</v>
      </c>
      <c r="S26" s="83">
        <v>71028817.370000005</v>
      </c>
      <c r="T26" s="85">
        <v>41245029.979999997</v>
      </c>
      <c r="U26" s="83">
        <v>98929489.541276395</v>
      </c>
      <c r="V26" s="84">
        <v>86112516.799999997</v>
      </c>
      <c r="W26" s="83">
        <v>62678200.899999999</v>
      </c>
      <c r="X26" s="85">
        <v>34506221.630000003</v>
      </c>
      <c r="Y26" s="83">
        <v>98573470.239999995</v>
      </c>
      <c r="Z26" s="84">
        <v>81248408.969999999</v>
      </c>
      <c r="AA26" s="83">
        <v>71301310.900000006</v>
      </c>
      <c r="AB26" s="84">
        <v>33280802.989999998</v>
      </c>
      <c r="AC26" s="136"/>
    </row>
    <row r="27" spans="1:29" ht="27.95" customHeight="1">
      <c r="A27" s="151"/>
      <c r="B27" s="81"/>
      <c r="C27" s="201"/>
      <c r="D27" s="82"/>
      <c r="E27" s="201"/>
      <c r="F27" s="81"/>
      <c r="G27" s="201"/>
      <c r="H27" s="82"/>
      <c r="I27" s="201"/>
      <c r="J27" s="81"/>
      <c r="K27" s="201"/>
      <c r="L27" s="82"/>
      <c r="M27" s="201"/>
      <c r="N27" s="81"/>
      <c r="O27" s="201"/>
      <c r="P27" s="82"/>
      <c r="Q27" s="80"/>
      <c r="R27" s="81"/>
      <c r="S27" s="80"/>
      <c r="T27" s="82"/>
      <c r="U27" s="80"/>
      <c r="V27" s="81"/>
      <c r="W27" s="80"/>
      <c r="X27" s="82"/>
      <c r="Y27" s="80"/>
      <c r="Z27" s="81"/>
      <c r="AA27" s="80"/>
      <c r="AB27" s="81"/>
      <c r="AC27" s="136"/>
    </row>
    <row r="28" spans="1:29" ht="27.95" customHeight="1">
      <c r="A28" s="152" t="s">
        <v>114</v>
      </c>
      <c r="B28" s="84">
        <f>B22-B26</f>
        <v>3252480.9899999946</v>
      </c>
      <c r="C28" s="202">
        <f t="shared" ref="C28:D28" si="6">C22-C26</f>
        <v>4879551.5899999961</v>
      </c>
      <c r="D28" s="85">
        <f t="shared" si="6"/>
        <v>2974207.9600000009</v>
      </c>
      <c r="E28" s="202">
        <f t="shared" ref="E28" si="7">E22-E26</f>
        <v>1603785.1862100959</v>
      </c>
      <c r="F28" s="84">
        <f t="shared" ref="F28" si="8">F22-F26</f>
        <v>5642070.3100000173</v>
      </c>
      <c r="G28" s="202">
        <f t="shared" ref="G28" si="9">G22-G26</f>
        <v>7343587.7099999934</v>
      </c>
      <c r="H28" s="85">
        <f t="shared" ref="H28" si="10">H22-H26</f>
        <v>4053566.3299999982</v>
      </c>
      <c r="I28" s="202">
        <f t="shared" ref="I28" si="11">I22-I26</f>
        <v>3996118.5400000066</v>
      </c>
      <c r="J28" s="84">
        <f t="shared" ref="J28:O28" si="12">J22-J26</f>
        <v>7245910.2300000042</v>
      </c>
      <c r="K28" s="202">
        <f t="shared" si="12"/>
        <v>9409791.359999992</v>
      </c>
      <c r="L28" s="85">
        <f t="shared" si="12"/>
        <v>5721891.6099999994</v>
      </c>
      <c r="M28" s="202">
        <f t="shared" si="12"/>
        <v>-755243.78999999166</v>
      </c>
      <c r="N28" s="84">
        <f t="shared" si="12"/>
        <v>2457822.0799999982</v>
      </c>
      <c r="O28" s="202">
        <f t="shared" si="12"/>
        <v>8284338.5100000054</v>
      </c>
      <c r="P28" s="85">
        <v>3580531.51</v>
      </c>
      <c r="Q28" s="83">
        <v>5944856.2300000004</v>
      </c>
      <c r="R28" s="84">
        <v>9885118.580000028</v>
      </c>
      <c r="S28" s="83">
        <v>13339992.230000004</v>
      </c>
      <c r="T28" s="85">
        <v>5818902.5400000066</v>
      </c>
      <c r="U28" s="83">
        <v>1935340.3787236065</v>
      </c>
      <c r="V28" s="84">
        <v>5365925.4000000004</v>
      </c>
      <c r="W28" s="83">
        <v>8177538.2000000002</v>
      </c>
      <c r="X28" s="85">
        <v>3276728.05</v>
      </c>
      <c r="Y28" s="83">
        <v>1187976.03</v>
      </c>
      <c r="Z28" s="84">
        <v>7185663.0499999998</v>
      </c>
      <c r="AA28" s="83">
        <v>8932122.2100000009</v>
      </c>
      <c r="AB28" s="84">
        <v>4991176</v>
      </c>
      <c r="AC28" s="136"/>
    </row>
    <row r="29" spans="1:29" ht="27.95" customHeight="1">
      <c r="A29" s="7"/>
      <c r="B29" s="7"/>
      <c r="C29" s="7"/>
      <c r="D29" s="7"/>
      <c r="E29" s="7"/>
      <c r="F29" s="7"/>
      <c r="G29" s="215"/>
      <c r="H29" s="7"/>
      <c r="I29" s="200"/>
      <c r="J29" s="121"/>
      <c r="K29" s="116"/>
      <c r="L29" s="117"/>
      <c r="M29" s="117"/>
      <c r="N29" s="117"/>
      <c r="O29" s="116"/>
      <c r="P29" s="117"/>
      <c r="Q29" s="117"/>
      <c r="R29" s="117"/>
      <c r="S29" s="117"/>
      <c r="T29" s="8"/>
      <c r="U29" s="8"/>
      <c r="V29" s="8"/>
    </row>
    <row r="30" spans="1:29" ht="27.95" customHeight="1">
      <c r="A30" s="7"/>
      <c r="B30" s="7"/>
      <c r="C30" s="7"/>
      <c r="D30" s="7"/>
      <c r="E30" s="7"/>
      <c r="F30" s="215"/>
      <c r="G30" s="7"/>
      <c r="H30" s="200"/>
      <c r="I30" s="8"/>
      <c r="J30" s="11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9" ht="27.95" customHeight="1">
      <c r="A31" s="343" t="s">
        <v>156</v>
      </c>
      <c r="B31" s="464" t="s">
        <v>151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</row>
    <row r="32" spans="1:29" ht="27.95" customHeight="1">
      <c r="A32" s="7"/>
      <c r="B32" s="7"/>
      <c r="C32" s="7"/>
      <c r="D32" s="7"/>
      <c r="E32" s="7"/>
      <c r="F32" s="7"/>
      <c r="G32" s="7"/>
      <c r="H32" s="215"/>
      <c r="I32" s="7"/>
      <c r="J32" s="20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9" ht="27.95" customHeight="1">
      <c r="A33" s="332"/>
      <c r="B33" s="334" t="s">
        <v>215</v>
      </c>
      <c r="C33" s="218" t="s">
        <v>212</v>
      </c>
      <c r="D33" s="333" t="s">
        <v>200</v>
      </c>
      <c r="E33" s="218" t="s">
        <v>210</v>
      </c>
      <c r="F33" s="334" t="s">
        <v>207</v>
      </c>
      <c r="G33" s="218" t="s">
        <v>201</v>
      </c>
      <c r="H33" s="333" t="s">
        <v>200</v>
      </c>
      <c r="I33" s="218" t="s">
        <v>205</v>
      </c>
      <c r="J33" s="334" t="s">
        <v>195</v>
      </c>
      <c r="K33" s="218" t="s">
        <v>193</v>
      </c>
      <c r="L33" s="333" t="s">
        <v>192</v>
      </c>
      <c r="M33" s="218" t="s">
        <v>189</v>
      </c>
      <c r="N33" s="334" t="s">
        <v>187</v>
      </c>
      <c r="O33" s="218" t="s">
        <v>183</v>
      </c>
      <c r="P33" s="333" t="s">
        <v>164</v>
      </c>
      <c r="Q33" s="335" t="s">
        <v>117</v>
      </c>
      <c r="R33" s="334" t="s">
        <v>14</v>
      </c>
      <c r="S33" s="336" t="s">
        <v>15</v>
      </c>
      <c r="T33" s="333" t="s">
        <v>16</v>
      </c>
      <c r="U33" s="336" t="s">
        <v>17</v>
      </c>
      <c r="V33" s="334" t="s">
        <v>18</v>
      </c>
      <c r="W33" s="336" t="s">
        <v>19</v>
      </c>
      <c r="X33" s="333" t="s">
        <v>20</v>
      </c>
      <c r="Y33" s="336" t="s">
        <v>21</v>
      </c>
      <c r="Z33" s="334" t="s">
        <v>22</v>
      </c>
      <c r="AA33" s="336" t="s">
        <v>23</v>
      </c>
      <c r="AB33" s="334" t="s">
        <v>24</v>
      </c>
    </row>
    <row r="34" spans="1:29" ht="27.95" customHeight="1">
      <c r="A34" s="337" t="s">
        <v>115</v>
      </c>
      <c r="B34" s="340">
        <f>14923461.56+2008139.5</f>
        <v>16931601.060000002</v>
      </c>
      <c r="C34" s="338">
        <f>3403228.82+1488169.46</f>
        <v>4891398.2799999993</v>
      </c>
      <c r="D34" s="339">
        <v>2520850.16</v>
      </c>
      <c r="E34" s="338">
        <v>37610076.810000002</v>
      </c>
      <c r="F34" s="340">
        <v>10025664.719999993</v>
      </c>
      <c r="G34" s="338">
        <v>6838964.7599999998</v>
      </c>
      <c r="H34" s="339">
        <v>2903304.23</v>
      </c>
      <c r="I34" s="338">
        <f>50031438.38+9397944.02</f>
        <v>59429382.400000006</v>
      </c>
      <c r="J34" s="340">
        <f>25943976.19+3264988.74</f>
        <v>29208964.93</v>
      </c>
      <c r="K34" s="338">
        <v>22848599.920000002</v>
      </c>
      <c r="L34" s="339">
        <v>5949873.9699999997</v>
      </c>
      <c r="M34" s="338">
        <v>43904482.780000001</v>
      </c>
      <c r="N34" s="340">
        <v>19422036.43</v>
      </c>
      <c r="O34" s="338">
        <v>12202233.390000001</v>
      </c>
      <c r="P34" s="339">
        <v>4579654.01</v>
      </c>
      <c r="Q34" s="342">
        <v>35039531.350000001</v>
      </c>
      <c r="R34" s="340">
        <v>13395416.559999995</v>
      </c>
      <c r="S34" s="342">
        <v>3009665.61</v>
      </c>
      <c r="T34" s="339">
        <v>1249686.26</v>
      </c>
      <c r="U34" s="342">
        <v>22181661.960000001</v>
      </c>
      <c r="V34" s="340">
        <v>5642797.75</v>
      </c>
      <c r="W34" s="342">
        <v>2959300.15</v>
      </c>
      <c r="X34" s="339">
        <v>1482749.54</v>
      </c>
      <c r="Y34" s="342">
        <v>16444005.199999999</v>
      </c>
      <c r="Z34" s="340">
        <v>4123000</v>
      </c>
      <c r="AA34" s="342">
        <v>833000</v>
      </c>
      <c r="AB34" s="340">
        <v>368000</v>
      </c>
      <c r="AC34" s="114"/>
    </row>
    <row r="35" spans="1:29" ht="27.95" customHeight="1">
      <c r="A35" s="151" t="s">
        <v>109</v>
      </c>
      <c r="B35" s="81">
        <f>2481828.07+11205.05</f>
        <v>2493033.1199999996</v>
      </c>
      <c r="C35" s="201">
        <f>870645.86+9483.44</f>
        <v>880129.29999999993</v>
      </c>
      <c r="D35" s="82">
        <v>807589.28999999992</v>
      </c>
      <c r="E35" s="201">
        <v>614179.93999999994</v>
      </c>
      <c r="F35" s="81">
        <v>338341.73</v>
      </c>
      <c r="G35" s="201">
        <v>266928.24</v>
      </c>
      <c r="H35" s="82">
        <v>122884.7</v>
      </c>
      <c r="I35" s="201">
        <f>430587.02+979.82</f>
        <v>431566.84</v>
      </c>
      <c r="J35" s="81">
        <f>386478.63+3798.85</f>
        <v>390277.48</v>
      </c>
      <c r="K35" s="201">
        <v>388642.16</v>
      </c>
      <c r="L35" s="82">
        <v>488547.37</v>
      </c>
      <c r="M35" s="201">
        <v>694087.15</v>
      </c>
      <c r="N35" s="81">
        <v>6447.77</v>
      </c>
      <c r="O35" s="201">
        <v>832107.16</v>
      </c>
      <c r="P35" s="82">
        <v>0</v>
      </c>
      <c r="Q35" s="80">
        <v>0</v>
      </c>
      <c r="R35" s="81">
        <v>0</v>
      </c>
      <c r="S35" s="80">
        <v>0</v>
      </c>
      <c r="T35" s="82">
        <v>0</v>
      </c>
      <c r="U35" s="80">
        <v>0</v>
      </c>
      <c r="V35" s="81">
        <v>0</v>
      </c>
      <c r="W35" s="80">
        <v>0</v>
      </c>
      <c r="X35" s="82">
        <v>0</v>
      </c>
      <c r="Y35" s="80">
        <v>0</v>
      </c>
      <c r="Z35" s="81">
        <v>0</v>
      </c>
      <c r="AA35" s="80">
        <v>0</v>
      </c>
      <c r="AB35" s="81">
        <v>0</v>
      </c>
      <c r="AC35" s="114"/>
    </row>
    <row r="36" spans="1:29" ht="27.95" customHeight="1">
      <c r="A36" s="152" t="s">
        <v>110</v>
      </c>
      <c r="B36" s="84">
        <f>SUM(B34:B35)</f>
        <v>19424634.180000003</v>
      </c>
      <c r="C36" s="202">
        <f>SUM(C34:C35)</f>
        <v>5771527.5799999991</v>
      </c>
      <c r="D36" s="85">
        <f>SUM(D34:D35)</f>
        <v>3328439.45</v>
      </c>
      <c r="E36" s="202">
        <f>E34+E35</f>
        <v>38224256.75</v>
      </c>
      <c r="F36" s="84">
        <f>SUM(F34:F35)</f>
        <v>10364006.449999994</v>
      </c>
      <c r="G36" s="202">
        <f>G34+G35</f>
        <v>7105893</v>
      </c>
      <c r="H36" s="85">
        <f>SUM(H34:H35)</f>
        <v>3026188.93</v>
      </c>
      <c r="I36" s="202">
        <f>I34+I35</f>
        <v>59860949.24000001</v>
      </c>
      <c r="J36" s="84">
        <f>SUM(J34:J35)</f>
        <v>29599242.41</v>
      </c>
      <c r="K36" s="202">
        <f>K34+K35</f>
        <v>23237242.080000002</v>
      </c>
      <c r="L36" s="85">
        <f>SUM(L34:L35)</f>
        <v>6438421.3399999999</v>
      </c>
      <c r="M36" s="202">
        <f>M34+M35</f>
        <v>44598569.93</v>
      </c>
      <c r="N36" s="84">
        <f>SUM(N34:N35)</f>
        <v>19428484.199999999</v>
      </c>
      <c r="O36" s="202">
        <f>O34+O35</f>
        <v>13034340.550000001</v>
      </c>
      <c r="P36" s="85">
        <v>4579654.01</v>
      </c>
      <c r="Q36" s="83">
        <v>35039531.350000001</v>
      </c>
      <c r="R36" s="84">
        <v>13395416.559999995</v>
      </c>
      <c r="S36" s="83">
        <v>3009665.61</v>
      </c>
      <c r="T36" s="85">
        <v>1249686.26</v>
      </c>
      <c r="U36" s="83">
        <v>22181661.960000001</v>
      </c>
      <c r="V36" s="84">
        <v>5642797.75</v>
      </c>
      <c r="W36" s="83">
        <v>2959300.15</v>
      </c>
      <c r="X36" s="85">
        <v>1482749.54</v>
      </c>
      <c r="Y36" s="83">
        <v>16444005.199999999</v>
      </c>
      <c r="Z36" s="84">
        <v>4123000</v>
      </c>
      <c r="AA36" s="83">
        <v>833000</v>
      </c>
      <c r="AB36" s="84">
        <v>368000</v>
      </c>
      <c r="AC36" s="114"/>
    </row>
    <row r="37" spans="1:29" ht="27.95" customHeight="1">
      <c r="A37" s="151"/>
      <c r="B37" s="81"/>
      <c r="C37" s="201"/>
      <c r="D37" s="82"/>
      <c r="E37" s="201"/>
      <c r="F37" s="81"/>
      <c r="G37" s="201"/>
      <c r="H37" s="82"/>
      <c r="I37" s="201"/>
      <c r="J37" s="81"/>
      <c r="K37" s="201"/>
      <c r="L37" s="82"/>
      <c r="M37" s="201"/>
      <c r="N37" s="81"/>
      <c r="O37" s="201"/>
      <c r="P37" s="82"/>
      <c r="Q37" s="80"/>
      <c r="R37" s="81"/>
      <c r="S37" s="80"/>
      <c r="T37" s="82"/>
      <c r="U37" s="80"/>
      <c r="V37" s="81"/>
      <c r="W37" s="80"/>
      <c r="X37" s="82"/>
      <c r="Y37" s="80"/>
      <c r="Z37" s="81"/>
      <c r="AA37" s="80"/>
      <c r="AB37" s="81"/>
      <c r="AC37" s="114"/>
    </row>
    <row r="38" spans="1:29" ht="27.95" customHeight="1">
      <c r="A38" s="151" t="s">
        <v>111</v>
      </c>
      <c r="B38" s="81">
        <f>15716324.02+3107361.52</f>
        <v>18823685.539999999</v>
      </c>
      <c r="C38" s="201">
        <f>5599556.96+2283065.74</f>
        <v>7882622.7000000002</v>
      </c>
      <c r="D38" s="82">
        <v>4282640.8148543201</v>
      </c>
      <c r="E38" s="201">
        <v>40544221.147077218</v>
      </c>
      <c r="F38" s="81">
        <v>13785096.116071347</v>
      </c>
      <c r="G38" s="201">
        <v>9979841.3686614037</v>
      </c>
      <c r="H38" s="82">
        <v>4222315.0726360064</v>
      </c>
      <c r="I38" s="201">
        <f>45567547.75+10530066.25</f>
        <v>56097614</v>
      </c>
      <c r="J38" s="81">
        <f>23878202+4403428.78+0.01</f>
        <v>28281630.790000003</v>
      </c>
      <c r="K38" s="201">
        <v>20165737.539999999</v>
      </c>
      <c r="L38" s="82">
        <v>5756763.2300000004</v>
      </c>
      <c r="M38" s="201">
        <v>41689261.979999997</v>
      </c>
      <c r="N38" s="81">
        <v>21216946.57</v>
      </c>
      <c r="O38" s="201">
        <v>13754093.369999999</v>
      </c>
      <c r="P38" s="82">
        <v>5565163.54</v>
      </c>
      <c r="Q38" s="80">
        <v>34130996.509999998</v>
      </c>
      <c r="R38" s="81">
        <v>13945498.029999999</v>
      </c>
      <c r="S38" s="80">
        <v>3895782.78</v>
      </c>
      <c r="T38" s="82">
        <v>1875139.37</v>
      </c>
      <c r="U38" s="80">
        <v>23743342.499306642</v>
      </c>
      <c r="V38" s="81">
        <v>8180082.1400521388</v>
      </c>
      <c r="W38" s="80">
        <v>4279000</v>
      </c>
      <c r="X38" s="82">
        <v>1470771.6082443525</v>
      </c>
      <c r="Y38" s="80">
        <v>13888731.128974797</v>
      </c>
      <c r="Z38" s="81">
        <v>4208000</v>
      </c>
      <c r="AA38" s="80">
        <v>1369000</v>
      </c>
      <c r="AB38" s="81">
        <v>643000</v>
      </c>
      <c r="AC38" s="114"/>
    </row>
    <row r="39" spans="1:29" ht="27.95" customHeight="1">
      <c r="A39" s="151" t="s">
        <v>112</v>
      </c>
      <c r="B39" s="81">
        <f>2499107.23+11283.06</f>
        <v>2510390.29</v>
      </c>
      <c r="C39" s="201">
        <f>866509.76+9438.39</f>
        <v>875948.15</v>
      </c>
      <c r="D39" s="82">
        <v>799466.45000000007</v>
      </c>
      <c r="E39" s="201">
        <v>411275.03642690863</v>
      </c>
      <c r="F39" s="81">
        <v>123863.04000000004</v>
      </c>
      <c r="G39" s="201">
        <v>205426.36</v>
      </c>
      <c r="H39" s="82">
        <v>100030.59999999999</v>
      </c>
      <c r="I39" s="201">
        <f>206125.45+986.59</f>
        <v>207112.04</v>
      </c>
      <c r="J39" s="81">
        <f>139684.53+3924.94</f>
        <v>143609.47</v>
      </c>
      <c r="K39" s="201">
        <v>391784.83</v>
      </c>
      <c r="L39" s="82">
        <v>478195.61</v>
      </c>
      <c r="M39" s="201">
        <v>598852.02</v>
      </c>
      <c r="N39" s="81">
        <v>34181.89</v>
      </c>
      <c r="O39" s="201">
        <v>857534.1</v>
      </c>
      <c r="P39" s="82">
        <v>0</v>
      </c>
      <c r="Q39" s="80">
        <v>0</v>
      </c>
      <c r="R39" s="81">
        <v>0</v>
      </c>
      <c r="S39" s="80"/>
      <c r="T39" s="82">
        <v>0</v>
      </c>
      <c r="U39" s="80">
        <v>0</v>
      </c>
      <c r="V39" s="81">
        <v>0</v>
      </c>
      <c r="W39" s="80">
        <v>0</v>
      </c>
      <c r="X39" s="82">
        <v>0</v>
      </c>
      <c r="Y39" s="80">
        <v>0</v>
      </c>
      <c r="Z39" s="81">
        <v>0</v>
      </c>
      <c r="AA39" s="80">
        <v>0</v>
      </c>
      <c r="AB39" s="81">
        <v>0</v>
      </c>
      <c r="AC39" s="114"/>
    </row>
    <row r="40" spans="1:29" ht="27.95" customHeight="1">
      <c r="A40" s="152" t="s">
        <v>113</v>
      </c>
      <c r="B40" s="84">
        <f>SUM(B38:B39)</f>
        <v>21334075.829999998</v>
      </c>
      <c r="C40" s="202">
        <f>SUM(C38:C39)</f>
        <v>8758570.8499999996</v>
      </c>
      <c r="D40" s="85">
        <f>SUM(D38:D39)</f>
        <v>5082107.2648543203</v>
      </c>
      <c r="E40" s="202">
        <f>E38+E39</f>
        <v>40955496.183504127</v>
      </c>
      <c r="F40" s="84">
        <f>SUM(F38:F39)</f>
        <v>13908959.156071346</v>
      </c>
      <c r="G40" s="202">
        <f>G38+G39</f>
        <v>10185267.728661403</v>
      </c>
      <c r="H40" s="85">
        <f>SUM(H38:H39)</f>
        <v>4322345.672636006</v>
      </c>
      <c r="I40" s="202">
        <f>I38+I39</f>
        <v>56304726.039999999</v>
      </c>
      <c r="J40" s="84">
        <f>SUM(J38:J39)</f>
        <v>28425240.260000002</v>
      </c>
      <c r="K40" s="202">
        <f>K38+K39</f>
        <v>20557522.369999997</v>
      </c>
      <c r="L40" s="85">
        <f>SUM(L38:L39)</f>
        <v>6234958.8400000008</v>
      </c>
      <c r="M40" s="202">
        <f>M38+M39</f>
        <v>42288114</v>
      </c>
      <c r="N40" s="84">
        <f>SUM(N38:N39)</f>
        <v>21251128.460000001</v>
      </c>
      <c r="O40" s="202">
        <f>O38+O39</f>
        <v>14611627.469999999</v>
      </c>
      <c r="P40" s="85">
        <v>5565163.54</v>
      </c>
      <c r="Q40" s="83">
        <v>34130996.509999998</v>
      </c>
      <c r="R40" s="84">
        <v>13945498.029999999</v>
      </c>
      <c r="S40" s="83">
        <v>3895782.78</v>
      </c>
      <c r="T40" s="85">
        <v>1875139.37</v>
      </c>
      <c r="U40" s="83">
        <v>23743342.499306642</v>
      </c>
      <c r="V40" s="84">
        <v>8180082.1400521388</v>
      </c>
      <c r="W40" s="83">
        <v>4279000</v>
      </c>
      <c r="X40" s="85">
        <v>1470771.6082443525</v>
      </c>
      <c r="Y40" s="83">
        <v>13888731.128974797</v>
      </c>
      <c r="Z40" s="84">
        <v>4208000</v>
      </c>
      <c r="AA40" s="83">
        <v>1369000</v>
      </c>
      <c r="AB40" s="84">
        <v>643000</v>
      </c>
      <c r="AC40" s="114"/>
    </row>
    <row r="41" spans="1:29" ht="27.95" customHeight="1">
      <c r="A41" s="151"/>
      <c r="B41" s="81"/>
      <c r="C41" s="201"/>
      <c r="D41" s="82"/>
      <c r="E41" s="201"/>
      <c r="F41" s="81"/>
      <c r="G41" s="201"/>
      <c r="H41" s="82"/>
      <c r="I41" s="201"/>
      <c r="J41" s="81"/>
      <c r="K41" s="201"/>
      <c r="L41" s="82"/>
      <c r="M41" s="201"/>
      <c r="N41" s="81"/>
      <c r="O41" s="201"/>
      <c r="P41" s="82"/>
      <c r="Q41" s="80"/>
      <c r="R41" s="81"/>
      <c r="S41" s="80"/>
      <c r="T41" s="82"/>
      <c r="U41" s="80"/>
      <c r="V41" s="81"/>
      <c r="W41" s="80"/>
      <c r="X41" s="82"/>
      <c r="Y41" s="80"/>
      <c r="Z41" s="81"/>
      <c r="AA41" s="80"/>
      <c r="AB41" s="81"/>
      <c r="AC41" s="114"/>
    </row>
    <row r="42" spans="1:29" ht="27.95" customHeight="1">
      <c r="A42" s="152" t="s">
        <v>114</v>
      </c>
      <c r="B42" s="84">
        <f>B36-B40</f>
        <v>-1909441.6499999948</v>
      </c>
      <c r="C42" s="202">
        <f>C36-C40</f>
        <v>-2987043.2700000005</v>
      </c>
      <c r="D42" s="85">
        <f t="shared" ref="D42" si="13">D36-D40</f>
        <v>-1753667.8148543201</v>
      </c>
      <c r="E42" s="202">
        <f t="shared" ref="E42" si="14">E36-E40</f>
        <v>-2731239.433504127</v>
      </c>
      <c r="F42" s="84">
        <f t="shared" ref="F42" si="15">F36-F40</f>
        <v>-3544952.7060713526</v>
      </c>
      <c r="G42" s="202">
        <f t="shared" ref="G42" si="16">G36-G40</f>
        <v>-3079374.7286614031</v>
      </c>
      <c r="H42" s="85">
        <f t="shared" ref="H42" si="17">H36-H40</f>
        <v>-1296156.7426360059</v>
      </c>
      <c r="I42" s="202">
        <f t="shared" ref="I42" si="18">I36-I40</f>
        <v>3556223.2000000104</v>
      </c>
      <c r="J42" s="84">
        <f t="shared" ref="J42:O42" si="19">J36-J40</f>
        <v>1174002.1499999985</v>
      </c>
      <c r="K42" s="202">
        <f t="shared" si="19"/>
        <v>2679719.7100000046</v>
      </c>
      <c r="L42" s="85">
        <f t="shared" si="19"/>
        <v>203462.49999999907</v>
      </c>
      <c r="M42" s="202">
        <f t="shared" si="19"/>
        <v>2310455.9299999997</v>
      </c>
      <c r="N42" s="84">
        <f t="shared" si="19"/>
        <v>-1822644.2600000016</v>
      </c>
      <c r="O42" s="202">
        <f t="shared" si="19"/>
        <v>-1577286.9199999981</v>
      </c>
      <c r="P42" s="85">
        <v>-985509.53</v>
      </c>
      <c r="Q42" s="83">
        <v>908534.84</v>
      </c>
      <c r="R42" s="84">
        <v>-550081.47</v>
      </c>
      <c r="S42" s="83">
        <v>-886117.17</v>
      </c>
      <c r="T42" s="85">
        <v>-625453.11</v>
      </c>
      <c r="U42" s="83">
        <v>-1561680.5393066406</v>
      </c>
      <c r="V42" s="84">
        <v>-2537284.3900521388</v>
      </c>
      <c r="W42" s="83">
        <v>-1319699.8500000001</v>
      </c>
      <c r="X42" s="85">
        <v>11977.931755647529</v>
      </c>
      <c r="Y42" s="83">
        <v>2555274.0710252021</v>
      </c>
      <c r="Z42" s="84">
        <v>-85000</v>
      </c>
      <c r="AA42" s="83">
        <v>-536000</v>
      </c>
      <c r="AB42" s="84">
        <v>-275000</v>
      </c>
      <c r="AC42" s="114"/>
    </row>
    <row r="43" spans="1:29" ht="27.95" customHeight="1">
      <c r="A43" s="7"/>
      <c r="B43" s="7"/>
      <c r="C43" s="7"/>
      <c r="D43" s="7"/>
      <c r="E43" s="7"/>
      <c r="F43" s="7"/>
      <c r="G43" s="215"/>
      <c r="H43" s="7"/>
      <c r="I43" s="200"/>
      <c r="J43" s="7"/>
      <c r="K43" s="118"/>
      <c r="L43" s="119"/>
      <c r="M43" s="119"/>
      <c r="N43" s="119"/>
      <c r="O43" s="118"/>
      <c r="P43" s="119"/>
      <c r="Q43" s="8"/>
      <c r="R43" s="8"/>
      <c r="S43" s="8"/>
      <c r="T43" s="8"/>
      <c r="U43" s="8"/>
      <c r="V43" s="8"/>
    </row>
    <row r="44" spans="1:29" ht="27.95" customHeight="1">
      <c r="A44" s="7"/>
      <c r="B44" s="7"/>
      <c r="C44" s="7"/>
      <c r="D44" s="7"/>
      <c r="E44" s="7"/>
      <c r="F44" s="215"/>
      <c r="G44" s="7"/>
      <c r="H44" s="200"/>
      <c r="I44" s="7"/>
      <c r="J44" s="1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9" ht="27.95" customHeight="1">
      <c r="A45" s="343" t="s">
        <v>155</v>
      </c>
      <c r="B45" s="464" t="s">
        <v>151</v>
      </c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</row>
    <row r="46" spans="1:29" ht="27.95" customHeight="1">
      <c r="A46" s="7"/>
      <c r="B46" s="7"/>
      <c r="C46" s="7"/>
      <c r="D46" s="7"/>
      <c r="E46" s="7"/>
      <c r="F46" s="7"/>
      <c r="G46" s="7"/>
      <c r="H46" s="215"/>
      <c r="I46" s="7"/>
      <c r="J46" s="20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9" ht="27.95" customHeight="1">
      <c r="A47" s="332"/>
      <c r="B47" s="334" t="s">
        <v>215</v>
      </c>
      <c r="C47" s="218" t="s">
        <v>212</v>
      </c>
      <c r="D47" s="333" t="s">
        <v>200</v>
      </c>
      <c r="E47" s="218" t="s">
        <v>210</v>
      </c>
      <c r="F47" s="334" t="s">
        <v>207</v>
      </c>
      <c r="G47" s="218" t="s">
        <v>201</v>
      </c>
      <c r="H47" s="333" t="s">
        <v>200</v>
      </c>
      <c r="I47" s="218" t="s">
        <v>205</v>
      </c>
      <c r="J47" s="334" t="s">
        <v>195</v>
      </c>
      <c r="K47" s="218" t="s">
        <v>193</v>
      </c>
      <c r="L47" s="333" t="s">
        <v>192</v>
      </c>
      <c r="M47" s="218" t="s">
        <v>189</v>
      </c>
      <c r="N47" s="334" t="s">
        <v>187</v>
      </c>
      <c r="O47" s="218" t="s">
        <v>183</v>
      </c>
      <c r="P47" s="333" t="s">
        <v>163</v>
      </c>
      <c r="Q47" s="335" t="s">
        <v>117</v>
      </c>
      <c r="R47" s="334" t="s">
        <v>14</v>
      </c>
      <c r="S47" s="336" t="s">
        <v>15</v>
      </c>
      <c r="T47" s="333" t="s">
        <v>16</v>
      </c>
      <c r="U47" s="336" t="s">
        <v>17</v>
      </c>
      <c r="V47" s="334" t="s">
        <v>18</v>
      </c>
      <c r="W47" s="336" t="s">
        <v>19</v>
      </c>
      <c r="X47" s="333" t="s">
        <v>20</v>
      </c>
      <c r="Y47" s="336" t="s">
        <v>21</v>
      </c>
      <c r="Z47" s="334" t="s">
        <v>22</v>
      </c>
      <c r="AA47" s="336" t="s">
        <v>23</v>
      </c>
      <c r="AB47" s="334" t="s">
        <v>24</v>
      </c>
    </row>
    <row r="48" spans="1:29" ht="27.95" customHeight="1">
      <c r="A48" s="337" t="s">
        <v>115</v>
      </c>
      <c r="B48" s="340">
        <f>5130182.15+2687231.49</f>
        <v>7817413.6400000006</v>
      </c>
      <c r="C48" s="338">
        <f>5283947.47+1806733.65</f>
        <v>7090681.1199999992</v>
      </c>
      <c r="D48" s="339">
        <v>2485821.8000000007</v>
      </c>
      <c r="E48" s="338">
        <v>10645638.920000004</v>
      </c>
      <c r="F48" s="340">
        <v>9045651.3800000027</v>
      </c>
      <c r="G48" s="338">
        <v>5470269.3300000001</v>
      </c>
      <c r="H48" s="339">
        <v>2363586.0300000007</v>
      </c>
      <c r="I48" s="338">
        <f>8390329.63+2285976.22</f>
        <v>10676305.850000001</v>
      </c>
      <c r="J48" s="340">
        <f>5730624.59+1779453.24</f>
        <v>7510077.8300000001</v>
      </c>
      <c r="K48" s="338">
        <v>5483049.4100000001</v>
      </c>
      <c r="L48" s="339">
        <v>2912570.63</v>
      </c>
      <c r="M48" s="338">
        <v>12786184.74</v>
      </c>
      <c r="N48" s="340">
        <v>7573793.71</v>
      </c>
      <c r="O48" s="338">
        <v>5690762.4000000004</v>
      </c>
      <c r="P48" s="341">
        <v>3132816.28</v>
      </c>
      <c r="Q48" s="342">
        <v>11953509.050000001</v>
      </c>
      <c r="R48" s="340">
        <v>10450487.100000001</v>
      </c>
      <c r="S48" s="342">
        <v>7257341.9199999981</v>
      </c>
      <c r="T48" s="339">
        <v>3675247.14</v>
      </c>
      <c r="U48" s="342">
        <v>19438453.440000001</v>
      </c>
      <c r="V48" s="340">
        <v>14811037.510000002</v>
      </c>
      <c r="W48" s="342">
        <v>9999591.7599999998</v>
      </c>
      <c r="X48" s="339">
        <v>4682279.0500000007</v>
      </c>
      <c r="Y48" s="342">
        <v>21851076.930000003</v>
      </c>
      <c r="Z48" s="340">
        <v>13097000</v>
      </c>
      <c r="AA48" s="342">
        <v>8859000</v>
      </c>
      <c r="AB48" s="340">
        <v>4139000</v>
      </c>
      <c r="AC48" s="114"/>
    </row>
    <row r="49" spans="1:29" ht="27.95" customHeight="1">
      <c r="A49" s="151" t="s">
        <v>109</v>
      </c>
      <c r="B49" s="81">
        <f>17507705.39+634958.05</f>
        <v>18142663.440000001</v>
      </c>
      <c r="C49" s="201">
        <f>12539930.55+358735.2</f>
        <v>12898665.75</v>
      </c>
      <c r="D49" s="82">
        <v>7088714.8399999999</v>
      </c>
      <c r="E49" s="201">
        <v>21200621.77</v>
      </c>
      <c r="F49" s="81">
        <v>14359492.560000001</v>
      </c>
      <c r="G49" s="201">
        <v>9388775.7799999993</v>
      </c>
      <c r="H49" s="82">
        <v>4626092.4700000016</v>
      </c>
      <c r="I49" s="201">
        <v>16077345.029999997</v>
      </c>
      <c r="J49" s="81">
        <v>11089156.59</v>
      </c>
      <c r="K49" s="201">
        <v>7485576.0999999996</v>
      </c>
      <c r="L49" s="82">
        <v>3684722.17</v>
      </c>
      <c r="M49" s="201">
        <v>12263422.869999999</v>
      </c>
      <c r="N49" s="81">
        <v>11685520.74</v>
      </c>
      <c r="O49" s="201">
        <v>5759182.2000000002</v>
      </c>
      <c r="P49" s="199">
        <v>3889181.71</v>
      </c>
      <c r="Q49" s="80">
        <v>10832664.92</v>
      </c>
      <c r="R49" s="81">
        <v>7323565.6699999999</v>
      </c>
      <c r="S49" s="80">
        <v>4818082.8900000006</v>
      </c>
      <c r="T49" s="82">
        <v>2379861.4699999997</v>
      </c>
      <c r="U49" s="80">
        <v>5552580.5699999984</v>
      </c>
      <c r="V49" s="81">
        <v>4124046.11</v>
      </c>
      <c r="W49" s="80">
        <v>3985585.9400000004</v>
      </c>
      <c r="X49" s="82">
        <v>2056945.71</v>
      </c>
      <c r="Y49" s="80">
        <v>7516722.6500000004</v>
      </c>
      <c r="Z49" s="81">
        <v>8099000</v>
      </c>
      <c r="AA49" s="80">
        <v>3937000</v>
      </c>
      <c r="AB49" s="81">
        <v>2828000</v>
      </c>
      <c r="AC49" s="114"/>
    </row>
    <row r="50" spans="1:29" ht="27.95" customHeight="1">
      <c r="A50" s="152" t="s">
        <v>110</v>
      </c>
      <c r="B50" s="84">
        <f>SUM(B48:B49)</f>
        <v>25960077.080000002</v>
      </c>
      <c r="C50" s="202">
        <f>SUM(C48:C49)</f>
        <v>19989346.869999997</v>
      </c>
      <c r="D50" s="85">
        <f>SUM(D48:D49)</f>
        <v>9574536.6400000006</v>
      </c>
      <c r="E50" s="202">
        <f>E48+E49</f>
        <v>31846260.690000005</v>
      </c>
      <c r="F50" s="84">
        <f>SUM(F48:F49)</f>
        <v>23405143.940000005</v>
      </c>
      <c r="G50" s="202">
        <f>G48+G49</f>
        <v>14859045.109999999</v>
      </c>
      <c r="H50" s="85">
        <f>SUM(H48:H49)</f>
        <v>6989678.5000000019</v>
      </c>
      <c r="I50" s="202">
        <f>I48+I49</f>
        <v>26753650.879999999</v>
      </c>
      <c r="J50" s="84">
        <f>SUM(J48:J49)</f>
        <v>18599234.420000002</v>
      </c>
      <c r="K50" s="202">
        <f>K48+K49</f>
        <v>12968625.51</v>
      </c>
      <c r="L50" s="85">
        <f>SUM(L48:L49)</f>
        <v>6597292.7999999998</v>
      </c>
      <c r="M50" s="202">
        <f>M48+M49</f>
        <v>25049607.609999999</v>
      </c>
      <c r="N50" s="84">
        <f>SUM(N48:N49)</f>
        <v>19259314.449999999</v>
      </c>
      <c r="O50" s="202">
        <f>O48+O49</f>
        <v>11449944.600000001</v>
      </c>
      <c r="P50" s="85">
        <v>7021997.9900000002</v>
      </c>
      <c r="Q50" s="83">
        <v>22786173.969999999</v>
      </c>
      <c r="R50" s="84">
        <v>17774052.770000003</v>
      </c>
      <c r="S50" s="83">
        <v>12075424.809999999</v>
      </c>
      <c r="T50" s="85">
        <v>6055108.6099999994</v>
      </c>
      <c r="U50" s="83">
        <v>24991034.009999998</v>
      </c>
      <c r="V50" s="84">
        <v>18935083.620000001</v>
      </c>
      <c r="W50" s="83">
        <v>13985177.699999999</v>
      </c>
      <c r="X50" s="85">
        <v>6739224.7600000007</v>
      </c>
      <c r="Y50" s="83">
        <v>29367799.580000006</v>
      </c>
      <c r="Z50" s="84">
        <v>21196000</v>
      </c>
      <c r="AA50" s="83">
        <v>12796000</v>
      </c>
      <c r="AB50" s="84">
        <v>6967000</v>
      </c>
      <c r="AC50" s="114"/>
    </row>
    <row r="51" spans="1:29" ht="27.95" customHeight="1">
      <c r="A51" s="151"/>
      <c r="B51" s="81"/>
      <c r="C51" s="201"/>
      <c r="D51" s="82"/>
      <c r="E51" s="201"/>
      <c r="F51" s="81"/>
      <c r="G51" s="201"/>
      <c r="H51" s="82"/>
      <c r="I51" s="201"/>
      <c r="J51" s="81"/>
      <c r="K51" s="201"/>
      <c r="L51" s="82"/>
      <c r="M51" s="201"/>
      <c r="N51" s="81"/>
      <c r="O51" s="201"/>
      <c r="P51" s="85"/>
      <c r="Q51" s="80"/>
      <c r="R51" s="81"/>
      <c r="S51" s="80"/>
      <c r="T51" s="82"/>
      <c r="U51" s="80"/>
      <c r="V51" s="81"/>
      <c r="W51" s="80"/>
      <c r="X51" s="82"/>
      <c r="Y51" s="80"/>
      <c r="Z51" s="81"/>
      <c r="AA51" s="80"/>
      <c r="AB51" s="81"/>
      <c r="AC51" s="114"/>
    </row>
    <row r="52" spans="1:29" ht="27.95" customHeight="1">
      <c r="A52" s="151" t="s">
        <v>111</v>
      </c>
      <c r="B52" s="81">
        <f>4848351.62+4566092.43</f>
        <v>9414444.0500000007</v>
      </c>
      <c r="C52" s="201">
        <f>4174642.6+3313699.33</f>
        <v>7488341.9299999997</v>
      </c>
      <c r="D52" s="82">
        <v>2325201.6499855062</v>
      </c>
      <c r="E52" s="201">
        <v>7154293.7378891222</v>
      </c>
      <c r="F52" s="81">
        <v>7369669.2886168147</v>
      </c>
      <c r="G52" s="201">
        <v>4538383.77864445</v>
      </c>
      <c r="H52" s="82">
        <v>2065631.1665075058</v>
      </c>
      <c r="I52" s="201">
        <f>4048888.64370551+2518979.66</f>
        <v>6567868.3037055098</v>
      </c>
      <c r="J52" s="81">
        <f>4108149.41+2030896.88</f>
        <v>6139046.29</v>
      </c>
      <c r="K52" s="201">
        <v>4325233.26</v>
      </c>
      <c r="L52" s="82">
        <v>2366933.69</v>
      </c>
      <c r="M52" s="201">
        <v>9031578.7699999996</v>
      </c>
      <c r="N52" s="81">
        <v>4537787.97</v>
      </c>
      <c r="O52" s="201">
        <v>3963585.83</v>
      </c>
      <c r="P52" s="85">
        <v>2450498.17</v>
      </c>
      <c r="Q52" s="80">
        <v>7311025.2999999998</v>
      </c>
      <c r="R52" s="81">
        <v>7794880.8944546971</v>
      </c>
      <c r="S52" s="80">
        <v>5427511.997147752</v>
      </c>
      <c r="T52" s="82">
        <v>3025340.5297265491</v>
      </c>
      <c r="U52" s="80">
        <v>15585490.550000001</v>
      </c>
      <c r="V52" s="81">
        <v>11677557.441041127</v>
      </c>
      <c r="W52" s="80">
        <v>6683687.686829742</v>
      </c>
      <c r="X52" s="82">
        <v>3385391.928673923</v>
      </c>
      <c r="Y52" s="80">
        <v>18750349.24209499</v>
      </c>
      <c r="Z52" s="81">
        <v>14838000</v>
      </c>
      <c r="AA52" s="80">
        <v>10256000</v>
      </c>
      <c r="AB52" s="81">
        <v>5195000</v>
      </c>
      <c r="AC52" s="114"/>
    </row>
    <row r="53" spans="1:29" ht="27.95" customHeight="1">
      <c r="A53" s="151" t="s">
        <v>112</v>
      </c>
      <c r="B53" s="81">
        <f>17629598.76+639378.8</f>
        <v>18268977.560000002</v>
      </c>
      <c r="C53" s="201">
        <f>12480358.24+357030.99</f>
        <v>12837389.23</v>
      </c>
      <c r="D53" s="82">
        <v>7017415.6200000001</v>
      </c>
      <c r="E53" s="201">
        <v>23864896.519663144</v>
      </c>
      <c r="F53" s="81">
        <v>15562847.48</v>
      </c>
      <c r="G53" s="201">
        <v>10235887.809999999</v>
      </c>
      <c r="H53" s="82">
        <v>4769143.2100000009</v>
      </c>
      <c r="I53" s="201">
        <v>17831084.469999999</v>
      </c>
      <c r="J53" s="81">
        <v>10878952.237962291</v>
      </c>
      <c r="K53" s="201">
        <v>7546106.7000000002</v>
      </c>
      <c r="L53" s="82">
        <v>3670705.89</v>
      </c>
      <c r="M53" s="201">
        <v>13489559.92</v>
      </c>
      <c r="N53" s="81">
        <v>11713013.359999999</v>
      </c>
      <c r="O53" s="201">
        <v>5781518.3600000003</v>
      </c>
      <c r="P53" s="85">
        <v>3912329.55</v>
      </c>
      <c r="Q53" s="80">
        <v>10804222.35</v>
      </c>
      <c r="R53" s="81">
        <v>7321879.2063128641</v>
      </c>
      <c r="S53" s="80">
        <v>4815294.7100000009</v>
      </c>
      <c r="T53" s="82">
        <v>2329191.5099999998</v>
      </c>
      <c r="U53" s="80">
        <v>5641274.71</v>
      </c>
      <c r="V53" s="81">
        <v>4183804.26</v>
      </c>
      <c r="W53" s="80">
        <v>3993030.3500000006</v>
      </c>
      <c r="X53" s="82">
        <v>1933587.04</v>
      </c>
      <c r="Y53" s="80">
        <v>7375263</v>
      </c>
      <c r="Z53" s="81">
        <v>8097000</v>
      </c>
      <c r="AA53" s="80">
        <v>3918000</v>
      </c>
      <c r="AB53" s="81">
        <v>2727000</v>
      </c>
      <c r="AC53" s="114"/>
    </row>
    <row r="54" spans="1:29" ht="27.95" customHeight="1">
      <c r="A54" s="152" t="s">
        <v>113</v>
      </c>
      <c r="B54" s="84">
        <f>SUM(B52:B53)</f>
        <v>27683421.610000003</v>
      </c>
      <c r="C54" s="202">
        <f>SUM(C52:C53)</f>
        <v>20325731.16</v>
      </c>
      <c r="D54" s="85">
        <f>SUM(D52:D53)</f>
        <v>9342617.2699855063</v>
      </c>
      <c r="E54" s="202">
        <f>E52+E53</f>
        <v>31019190.257552266</v>
      </c>
      <c r="F54" s="84">
        <f>SUM(F52:F53)</f>
        <v>22932516.768616814</v>
      </c>
      <c r="G54" s="202">
        <f>G52+G53</f>
        <v>14774271.588644449</v>
      </c>
      <c r="H54" s="85">
        <f>SUM(H52:H53)</f>
        <v>6834774.3765075067</v>
      </c>
      <c r="I54" s="202">
        <f>I52+I53</f>
        <v>24398952.773705509</v>
      </c>
      <c r="J54" s="84">
        <f>SUM(J52:J53)</f>
        <v>17017998.52796229</v>
      </c>
      <c r="K54" s="202">
        <f>K52+K53</f>
        <v>11871339.960000001</v>
      </c>
      <c r="L54" s="85">
        <f>SUM(L52:L53)</f>
        <v>6037639.5800000001</v>
      </c>
      <c r="M54" s="202">
        <f>M52+M53</f>
        <v>22521138.689999998</v>
      </c>
      <c r="N54" s="84">
        <f>SUM(N52:N53)</f>
        <v>16250801.329999998</v>
      </c>
      <c r="O54" s="202">
        <f>O52+O53</f>
        <v>9745104.1900000013</v>
      </c>
      <c r="P54" s="85">
        <v>6362827.7199999997</v>
      </c>
      <c r="Q54" s="83">
        <v>18115247.649999999</v>
      </c>
      <c r="R54" s="84">
        <v>15116760.10076756</v>
      </c>
      <c r="S54" s="83">
        <v>10242806.707147753</v>
      </c>
      <c r="T54" s="85">
        <v>5354532.0397265488</v>
      </c>
      <c r="U54" s="83">
        <v>21226765.260000002</v>
      </c>
      <c r="V54" s="84">
        <v>15861361.701041127</v>
      </c>
      <c r="W54" s="83">
        <v>10676718.036829744</v>
      </c>
      <c r="X54" s="85">
        <v>5318978.9686739231</v>
      </c>
      <c r="Y54" s="83">
        <v>26125612.24209499</v>
      </c>
      <c r="Z54" s="84">
        <v>22935000</v>
      </c>
      <c r="AA54" s="83">
        <v>14174000</v>
      </c>
      <c r="AB54" s="84">
        <v>7922000</v>
      </c>
      <c r="AC54" s="114"/>
    </row>
    <row r="55" spans="1:29" ht="27.95" customHeight="1">
      <c r="A55" s="151"/>
      <c r="B55" s="81"/>
      <c r="C55" s="201"/>
      <c r="D55" s="82"/>
      <c r="E55" s="201"/>
      <c r="F55" s="81"/>
      <c r="G55" s="201"/>
      <c r="H55" s="82"/>
      <c r="I55" s="201"/>
      <c r="J55" s="81"/>
      <c r="K55" s="201"/>
      <c r="L55" s="82"/>
      <c r="M55" s="201"/>
      <c r="N55" s="81"/>
      <c r="O55" s="201"/>
      <c r="P55" s="85"/>
      <c r="Q55" s="80"/>
      <c r="R55" s="81"/>
      <c r="S55" s="80"/>
      <c r="T55" s="82"/>
      <c r="U55" s="80"/>
      <c r="V55" s="81"/>
      <c r="W55" s="80"/>
      <c r="X55" s="82"/>
      <c r="Y55" s="80"/>
      <c r="Z55" s="81"/>
      <c r="AA55" s="80"/>
      <c r="AB55" s="81"/>
      <c r="AC55" s="114"/>
    </row>
    <row r="56" spans="1:29" ht="27.95" customHeight="1">
      <c r="A56" s="152" t="s">
        <v>114</v>
      </c>
      <c r="B56" s="84">
        <f>B50-B54</f>
        <v>-1723344.5300000012</v>
      </c>
      <c r="C56" s="202">
        <f t="shared" ref="C56:D56" si="20">C50-C54</f>
        <v>-336384.29000000283</v>
      </c>
      <c r="D56" s="85">
        <f t="shared" si="20"/>
        <v>231919.37001449428</v>
      </c>
      <c r="E56" s="202">
        <f t="shared" ref="E56" si="21">E50-E54</f>
        <v>827070.43244773895</v>
      </c>
      <c r="F56" s="84">
        <f t="shared" ref="F56" si="22">F50-F54</f>
        <v>472627.1713831909</v>
      </c>
      <c r="G56" s="202">
        <f t="shared" ref="G56" si="23">G50-G54</f>
        <v>84773.521355550736</v>
      </c>
      <c r="H56" s="85">
        <f t="shared" ref="H56" si="24">H50-H54</f>
        <v>154904.12349249516</v>
      </c>
      <c r="I56" s="202">
        <f t="shared" ref="I56" si="25">I50-I54</f>
        <v>2354698.1062944904</v>
      </c>
      <c r="J56" s="84">
        <f t="shared" ref="J56:O56" si="26">J50-J54</f>
        <v>1581235.892037712</v>
      </c>
      <c r="K56" s="202">
        <f t="shared" si="26"/>
        <v>1097285.5499999989</v>
      </c>
      <c r="L56" s="85">
        <f t="shared" si="26"/>
        <v>559653.21999999974</v>
      </c>
      <c r="M56" s="202">
        <f t="shared" si="26"/>
        <v>2528468.9200000018</v>
      </c>
      <c r="N56" s="84">
        <f t="shared" si="26"/>
        <v>3008513.120000001</v>
      </c>
      <c r="O56" s="202">
        <f t="shared" si="26"/>
        <v>1704840.4100000001</v>
      </c>
      <c r="P56" s="85">
        <v>659170.27</v>
      </c>
      <c r="Q56" s="83">
        <v>4670926.32</v>
      </c>
      <c r="R56" s="84">
        <v>2657292.669232443</v>
      </c>
      <c r="S56" s="83">
        <v>1832618.1028522458</v>
      </c>
      <c r="T56" s="85">
        <v>700576.57027345058</v>
      </c>
      <c r="U56" s="83">
        <v>3764268.75</v>
      </c>
      <c r="V56" s="84">
        <v>3073721.9189588744</v>
      </c>
      <c r="W56" s="83">
        <v>3308459.6631702557</v>
      </c>
      <c r="X56" s="85">
        <v>1420245.7913260777</v>
      </c>
      <c r="Y56" s="83">
        <v>3242187.3379050158</v>
      </c>
      <c r="Z56" s="84">
        <v>-1739000</v>
      </c>
      <c r="AA56" s="83">
        <v>-1378000</v>
      </c>
      <c r="AB56" s="84">
        <v>-955000</v>
      </c>
      <c r="AC56" s="114"/>
    </row>
    <row r="57" spans="1:29" ht="42" customHeight="1">
      <c r="A57" s="114"/>
      <c r="B57" s="114"/>
      <c r="C57" s="114"/>
      <c r="D57" s="114"/>
      <c r="E57" s="114"/>
      <c r="F57" s="114"/>
      <c r="G57" s="114"/>
      <c r="H57" s="114"/>
      <c r="I57" s="216"/>
      <c r="J57" s="114"/>
      <c r="K57" s="17"/>
      <c r="L57" s="114"/>
      <c r="M57" s="115"/>
      <c r="N57" s="114"/>
      <c r="O57" s="114"/>
      <c r="P57" s="114"/>
      <c r="Q57" s="115"/>
      <c r="R57" s="114"/>
      <c r="S57" s="114"/>
      <c r="T57" s="114"/>
      <c r="U57" s="114"/>
      <c r="V57" s="114"/>
    </row>
    <row r="58" spans="1:29" ht="23.25">
      <c r="A58" s="114"/>
      <c r="B58" s="114"/>
      <c r="C58" s="114"/>
      <c r="D58" s="114"/>
      <c r="E58" s="114"/>
      <c r="F58" s="216"/>
      <c r="G58" s="114"/>
      <c r="H58" s="17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</row>
    <row r="59" spans="1:29">
      <c r="F59" s="216"/>
      <c r="H59" s="17"/>
    </row>
    <row r="60" spans="1:29">
      <c r="B60" s="240"/>
      <c r="C60" s="240"/>
      <c r="F60" s="216"/>
      <c r="H60" s="17"/>
    </row>
  </sheetData>
  <mergeCells count="4">
    <mergeCell ref="B3:W3"/>
    <mergeCell ref="B17:W17"/>
    <mergeCell ref="B31:W31"/>
    <mergeCell ref="B45:W45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  
powered by PROFESCAPITAL</oddFooter>
  </headerFooter>
  <ignoredErrors>
    <ignoredError sqref="H36:N40 H22:N26 H8:N12 H50:O54 E8:G12 E22:G26 E36:G40 E50:G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79"/>
  <sheetViews>
    <sheetView showGridLines="0" zoomScale="60" zoomScaleNormal="60" zoomScaleSheetLayoutView="20" zoomScalePageLayoutView="50" workbookViewId="0">
      <pane xSplit="1" topLeftCell="B1" activePane="topRight" state="frozen"/>
      <selection activeCell="E31" sqref="E31"/>
      <selection pane="topRight"/>
    </sheetView>
  </sheetViews>
  <sheetFormatPr defaultRowHeight="18.75"/>
  <cols>
    <col min="1" max="1" width="80.7109375" customWidth="1"/>
    <col min="2" max="3" width="21.7109375" customWidth="1"/>
    <col min="4" max="4" width="21.7109375" style="13" customWidth="1"/>
    <col min="5" max="5" width="21.7109375" customWidth="1"/>
    <col min="6" max="6" width="21.7109375" style="17" customWidth="1"/>
    <col min="7" max="28" width="21.7109375" customWidth="1"/>
  </cols>
  <sheetData>
    <row r="1" spans="1:28" ht="50.1" customHeight="1">
      <c r="A1" s="345" t="s">
        <v>160</v>
      </c>
      <c r="B1" s="110"/>
      <c r="C1" s="110"/>
      <c r="D1" s="186"/>
      <c r="E1" s="110"/>
      <c r="F1" s="186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3"/>
      <c r="T1" s="3"/>
      <c r="U1" s="3"/>
      <c r="V1" s="3"/>
      <c r="W1" s="3"/>
      <c r="X1" s="3"/>
      <c r="Y1" s="3"/>
      <c r="Z1" s="3"/>
      <c r="AA1" s="3"/>
      <c r="AB1" s="3"/>
    </row>
    <row r="2" spans="1:28" ht="27.95" customHeight="1"/>
    <row r="3" spans="1:28" ht="27.95" customHeight="1">
      <c r="A3" s="344" t="s">
        <v>154</v>
      </c>
      <c r="B3" s="464" t="s">
        <v>147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</row>
    <row r="4" spans="1:28" ht="27.95" customHeight="1">
      <c r="D4"/>
      <c r="F4" s="13"/>
      <c r="H4" s="17"/>
      <c r="I4" s="135"/>
    </row>
    <row r="5" spans="1:28" ht="27.95" customHeight="1">
      <c r="A5" s="149"/>
      <c r="B5" s="74" t="s">
        <v>216</v>
      </c>
      <c r="C5" s="204" t="s">
        <v>213</v>
      </c>
      <c r="D5" s="203" t="s">
        <v>211</v>
      </c>
      <c r="E5" s="204" t="s">
        <v>209</v>
      </c>
      <c r="F5" s="74" t="s">
        <v>208</v>
      </c>
      <c r="G5" s="204" t="s">
        <v>202</v>
      </c>
      <c r="H5" s="203" t="s">
        <v>199</v>
      </c>
      <c r="I5" s="204" t="s">
        <v>198</v>
      </c>
      <c r="J5" s="74" t="s">
        <v>197</v>
      </c>
      <c r="K5" s="204" t="s">
        <v>194</v>
      </c>
      <c r="L5" s="203" t="s">
        <v>191</v>
      </c>
      <c r="M5" s="218" t="s">
        <v>190</v>
      </c>
      <c r="N5" s="74" t="s">
        <v>188</v>
      </c>
      <c r="O5" s="204" t="s">
        <v>185</v>
      </c>
      <c r="P5" s="203" t="s">
        <v>163</v>
      </c>
      <c r="Q5" s="73" t="s">
        <v>118</v>
      </c>
      <c r="R5" s="74" t="s">
        <v>25</v>
      </c>
      <c r="S5" s="75" t="s">
        <v>26</v>
      </c>
      <c r="T5" s="76" t="s">
        <v>16</v>
      </c>
      <c r="U5" s="75" t="s">
        <v>27</v>
      </c>
      <c r="V5" s="74" t="s">
        <v>28</v>
      </c>
      <c r="W5" s="75" t="s">
        <v>29</v>
      </c>
      <c r="X5" s="76" t="s">
        <v>20</v>
      </c>
      <c r="Y5" s="75" t="s">
        <v>30</v>
      </c>
      <c r="Z5" s="74" t="s">
        <v>31</v>
      </c>
      <c r="AA5" s="75" t="s">
        <v>32</v>
      </c>
      <c r="AB5" s="74" t="s">
        <v>24</v>
      </c>
    </row>
    <row r="6" spans="1:28" ht="27.95" customHeight="1">
      <c r="A6" s="150" t="s">
        <v>115</v>
      </c>
      <c r="B6" s="207">
        <f>'SEGMENTY I'!B6-'SEGMENTY I'!C6</f>
        <v>19672193.870000005</v>
      </c>
      <c r="C6" s="205">
        <f>'SEGMENTY I'!C6-'SEGMENTY I'!D6</f>
        <v>21844030.369999997</v>
      </c>
      <c r="D6" s="79">
        <f>'SEGMENTY I'!D6</f>
        <v>31806720.850000001</v>
      </c>
      <c r="E6" s="205">
        <f>'SEGMENTY I'!E6-'SEGMENTY I'!F6</f>
        <v>20882445.399999991</v>
      </c>
      <c r="F6" s="207">
        <f>'SEGMENTY I'!F6-'SEGMENTY I'!G6</f>
        <v>30952513.599999994</v>
      </c>
      <c r="G6" s="205">
        <f>'SEGMENTY I'!G6-'SEGMENTY I'!H6</f>
        <v>23465786.500000007</v>
      </c>
      <c r="H6" s="79">
        <f>'SEGMENTY I'!H6</f>
        <v>22850969.990000002</v>
      </c>
      <c r="I6" s="205">
        <f>'SEGMENTY I'!I6-'SEGMENTY I'!J6</f>
        <v>44951540.469999999</v>
      </c>
      <c r="J6" s="207">
        <f>'SEGMENTY I'!J6-'SEGMENTY I'!K6</f>
        <v>23597743.109999992</v>
      </c>
      <c r="K6" s="205">
        <f>'SEGMENTY I'!K6-'SEGMENTY I'!L6</f>
        <v>27898038.930000003</v>
      </c>
      <c r="L6" s="79">
        <f>'SEGMENTY I'!L6</f>
        <v>26067801.34</v>
      </c>
      <c r="M6" s="219">
        <f>'SEGMENTY I'!M6-'SEGMENTY I'!N6</f>
        <v>22536469.620000005</v>
      </c>
      <c r="N6" s="207">
        <f>'SEGMENTY I'!N6-'SEGMENTY I'!O6</f>
        <v>23069412.259999998</v>
      </c>
      <c r="O6" s="205">
        <f>'SEGMENTY I'!O6-'SEGMENTY I'!P6</f>
        <v>26485918.579999998</v>
      </c>
      <c r="P6" s="79">
        <v>25968984.649999999</v>
      </c>
      <c r="Q6" s="77">
        <f>'SEGMENTY I'!Q6-'SEGMENTY I'!R6</f>
        <v>17207214.679999992</v>
      </c>
      <c r="R6" s="78">
        <f>'SEGMENTY I'!R6-'SEGMENTY I'!S6</f>
        <v>27012713.410000019</v>
      </c>
      <c r="S6" s="77">
        <f>'SEGMENTY I'!S6-'SEGMENTY I'!T6</f>
        <v>31752055.179999996</v>
      </c>
      <c r="T6" s="79">
        <v>25304413.77</v>
      </c>
      <c r="U6" s="77">
        <f>'SEGMENTY I'!U6-'SEGMENTY I'!V6</f>
        <v>14220693.75999999</v>
      </c>
      <c r="V6" s="78">
        <f>'SEGMENTY I'!V6-'SEGMENTY I'!W6</f>
        <v>22160943.220000006</v>
      </c>
      <c r="W6" s="77">
        <f>'SEGMENTY I'!W6-'SEGMENTY I'!X6</f>
        <v>26448635.890000004</v>
      </c>
      <c r="X6" s="79">
        <v>22278309.289999995</v>
      </c>
      <c r="Y6" s="77">
        <f>'SEGMENTY I'!Y6-'SEGMENTY I'!Z6</f>
        <v>15809009.840000004</v>
      </c>
      <c r="Z6" s="78">
        <f>'SEGMENTY I'!Z6-'SEGMENTY I'!AA6</f>
        <v>18929000</v>
      </c>
      <c r="AA6" s="77">
        <f>'SEGMENTY I'!AA6-'SEGMENTY I'!AB6</f>
        <v>20497000</v>
      </c>
      <c r="AB6" s="78">
        <v>19061000</v>
      </c>
    </row>
    <row r="7" spans="1:28" ht="27.95" customHeight="1">
      <c r="A7" s="151" t="s">
        <v>109</v>
      </c>
      <c r="B7" s="81">
        <f>'SEGMENTY I'!B7-'SEGMENTY I'!C7</f>
        <v>2083437.2299999995</v>
      </c>
      <c r="C7" s="201">
        <f>'SEGMENTY I'!C7-'SEGMENTY I'!D7</f>
        <v>2571107.9900000002</v>
      </c>
      <c r="D7" s="82">
        <f>'SEGMENTY I'!D7</f>
        <v>5749676.29</v>
      </c>
      <c r="E7" s="201">
        <f>'SEGMENTY I'!E7-'SEGMENTY I'!F7</f>
        <v>2817527.3100000005</v>
      </c>
      <c r="F7" s="81">
        <f>'SEGMENTY I'!F7-'SEGMENTY I'!G7</f>
        <v>1564328.0500000026</v>
      </c>
      <c r="G7" s="201">
        <f>'SEGMENTY I'!G7-'SEGMENTY I'!H7</f>
        <v>3428182.339999998</v>
      </c>
      <c r="H7" s="82">
        <f>'SEGMENTY I'!H7</f>
        <v>5988537.9600000009</v>
      </c>
      <c r="I7" s="201">
        <f>'SEGMENTY I'!I7-'SEGMENTY I'!J7</f>
        <v>2354366.8300000029</v>
      </c>
      <c r="J7" s="81">
        <f>'SEGMENTY I'!J7-'SEGMENTY I'!K7</f>
        <v>-1813208.0600000015</v>
      </c>
      <c r="K7" s="201">
        <f>'SEGMENTY I'!K7-'SEGMENTY I'!L7</f>
        <v>3803934.8100000005</v>
      </c>
      <c r="L7" s="82">
        <f>'SEGMENTY I'!L7</f>
        <v>5303475.01</v>
      </c>
      <c r="M7" s="219">
        <f>'SEGMENTY I'!M7-'SEGMENTY I'!N7</f>
        <v>6463159.8100000024</v>
      </c>
      <c r="N7" s="81">
        <f>'SEGMENTY I'!N7-'SEGMENTY I'!O7</f>
        <v>197973.93999999948</v>
      </c>
      <c r="O7" s="201">
        <f>'SEGMENTY I'!O7-'SEGMENTY I'!P7</f>
        <v>5801453.1699999999</v>
      </c>
      <c r="P7" s="82">
        <v>5453653.1799999997</v>
      </c>
      <c r="Q7" s="80">
        <f>'SEGMENTY I'!Q7-'SEGMENTY I'!R7</f>
        <v>2840068.6900000013</v>
      </c>
      <c r="R7" s="81">
        <f>'SEGMENTY I'!R7-'SEGMENTY I'!S7</f>
        <v>1459904.6599999964</v>
      </c>
      <c r="S7" s="80">
        <f>'SEGMENTY I'!S7-'SEGMENTY I'!T7</f>
        <v>4051656.8</v>
      </c>
      <c r="T7" s="82">
        <v>6008348.9700000016</v>
      </c>
      <c r="U7" s="80">
        <f>'SEGMENTY I'!U7-'SEGMENTY I'!V7</f>
        <v>8130385.3000000007</v>
      </c>
      <c r="V7" s="81">
        <f>'SEGMENTY I'!V7-'SEGMENTY I'!W7</f>
        <v>1970959.4800000004</v>
      </c>
      <c r="W7" s="80">
        <f>'SEGMENTY I'!W7-'SEGMENTY I'!X7</f>
        <v>4596444.7</v>
      </c>
      <c r="X7" s="82">
        <v>6950021.9799999995</v>
      </c>
      <c r="Y7" s="80">
        <f>'SEGMENTY I'!Y7-'SEGMENTY I'!Z7</f>
        <v>5044597</v>
      </c>
      <c r="Z7" s="81">
        <f>'SEGMENTY I'!Z7-'SEGMENTY I'!AA7</f>
        <v>1661000</v>
      </c>
      <c r="AA7" s="80">
        <f>'SEGMENTY I'!AA7-'SEGMENTY I'!AB7</f>
        <v>5003000</v>
      </c>
      <c r="AB7" s="81">
        <v>9023000</v>
      </c>
    </row>
    <row r="8" spans="1:28" ht="27.95" customHeight="1">
      <c r="A8" s="152" t="s">
        <v>110</v>
      </c>
      <c r="B8" s="206">
        <f>'SEGMENTY I'!B8-'SEGMENTY I'!C8</f>
        <v>21755631.100000009</v>
      </c>
      <c r="C8" s="202">
        <f>SUM(C6:C7)</f>
        <v>24415138.359999999</v>
      </c>
      <c r="D8" s="85">
        <f>SUM(D6:D7)</f>
        <v>37556397.140000001</v>
      </c>
      <c r="E8" s="202">
        <f>E6+E7</f>
        <v>23699972.709999993</v>
      </c>
      <c r="F8" s="206">
        <f>SUM(F6:F7)</f>
        <v>32516841.649999999</v>
      </c>
      <c r="G8" s="202">
        <f>G6+G7</f>
        <v>26893968.840000004</v>
      </c>
      <c r="H8" s="85">
        <f>SUM(H6:H7)</f>
        <v>28839507.950000003</v>
      </c>
      <c r="I8" s="202">
        <f>I6+I7</f>
        <v>47305907.300000004</v>
      </c>
      <c r="J8" s="206">
        <f>SUM(J6:J7)</f>
        <v>21784535.04999999</v>
      </c>
      <c r="K8" s="202">
        <f>K6+K7</f>
        <v>31701973.740000002</v>
      </c>
      <c r="L8" s="85">
        <f>SUM(L6:L7)</f>
        <v>31371276.350000001</v>
      </c>
      <c r="M8" s="220">
        <f>M6+M7</f>
        <v>28999629.430000007</v>
      </c>
      <c r="N8" s="206">
        <f>SUM(N6:N7)</f>
        <v>23267386.199999996</v>
      </c>
      <c r="O8" s="202">
        <f>O6+O7</f>
        <v>32287371.75</v>
      </c>
      <c r="P8" s="85">
        <v>31422637.829999998</v>
      </c>
      <c r="Q8" s="80">
        <f>'SEGMENTY I'!Q8-'SEGMENTY I'!R8</f>
        <v>20047283.36999999</v>
      </c>
      <c r="R8" s="81">
        <f>'SEGMENTY I'!R8-'SEGMENTY I'!S8</f>
        <v>28472618.070000008</v>
      </c>
      <c r="S8" s="80">
        <f>'SEGMENTY I'!S8-'SEGMENTY I'!T8</f>
        <v>35803711.979999997</v>
      </c>
      <c r="T8" s="85">
        <v>31312762.740000002</v>
      </c>
      <c r="U8" s="80">
        <f>'SEGMENTY I'!U8-'SEGMENTY I'!V8</f>
        <v>22351079.060000002</v>
      </c>
      <c r="V8" s="81">
        <f>'SEGMENTY I'!V8-'SEGMENTY I'!W8</f>
        <v>24131902.700000003</v>
      </c>
      <c r="W8" s="80">
        <f>'SEGMENTY I'!W8-'SEGMENTY I'!X8</f>
        <v>31045080.590000004</v>
      </c>
      <c r="X8" s="85">
        <v>29228331.269999996</v>
      </c>
      <c r="Y8" s="80">
        <f>'SEGMENTY I'!Y8-'SEGMENTY I'!Z8</f>
        <v>20853606.840000004</v>
      </c>
      <c r="Z8" s="81">
        <f>'SEGMENTY I'!Z8-'SEGMENTY I'!AA8</f>
        <v>20590000</v>
      </c>
      <c r="AA8" s="80">
        <f>'SEGMENTY I'!AA8-'SEGMENTY I'!AB8</f>
        <v>25500000</v>
      </c>
      <c r="AB8" s="84">
        <v>28084000</v>
      </c>
    </row>
    <row r="9" spans="1:28" ht="27.95" customHeight="1">
      <c r="A9" s="151"/>
      <c r="B9" s="81"/>
      <c r="C9" s="201"/>
      <c r="D9" s="82"/>
      <c r="E9" s="201"/>
      <c r="F9" s="81"/>
      <c r="G9" s="201"/>
      <c r="H9" s="82"/>
      <c r="I9" s="201"/>
      <c r="J9" s="81"/>
      <c r="K9" s="201"/>
      <c r="L9" s="82"/>
      <c r="M9" s="221"/>
      <c r="N9" s="81"/>
      <c r="O9" s="201"/>
      <c r="P9" s="82"/>
      <c r="Q9" s="80"/>
      <c r="R9" s="81"/>
      <c r="S9" s="80"/>
      <c r="T9" s="82"/>
      <c r="U9" s="80"/>
      <c r="V9" s="81"/>
      <c r="W9" s="80"/>
      <c r="X9" s="82"/>
      <c r="Y9" s="80"/>
      <c r="Z9" s="81"/>
      <c r="AA9" s="80"/>
      <c r="AB9" s="81"/>
    </row>
    <row r="10" spans="1:28" ht="27.95" customHeight="1">
      <c r="A10" s="151" t="s">
        <v>111</v>
      </c>
      <c r="B10" s="81">
        <f>'SEGMENTY I'!B10-'SEGMENTY I'!C10</f>
        <v>20901176.280000001</v>
      </c>
      <c r="C10" s="201">
        <f>'SEGMENTY I'!C10-'SEGMENTY I'!D10</f>
        <v>22137629.554839827</v>
      </c>
      <c r="D10" s="82">
        <f>'SEGMENTY I'!D10</f>
        <v>24311247.805160172</v>
      </c>
      <c r="E10" s="201">
        <f>'SEGMENTY I'!E10-'SEGMENTY I'!F10</f>
        <v>19375408.956721812</v>
      </c>
      <c r="F10" s="81">
        <f>'SEGMENTY I'!F10-'SEGMENTY I'!G10</f>
        <v>26293508.475617684</v>
      </c>
      <c r="G10" s="201">
        <f>'SEGMENTY I'!G10-'SEGMENTY I'!H10</f>
        <v>22828818.771837663</v>
      </c>
      <c r="H10" s="82">
        <f>'SEGMENTY I'!H10</f>
        <v>21190515.720856484</v>
      </c>
      <c r="I10" s="201">
        <f>'SEGMENTY I'!I10-'SEGMENTY I'!J10</f>
        <v>31893043.138635099</v>
      </c>
      <c r="J10" s="81">
        <f>'SEGMENTY I'!J10-'SEGMENTY I'!K10</f>
        <v>25908738.358186625</v>
      </c>
      <c r="K10" s="201">
        <f>'SEGMENTY I'!K10-'SEGMENTY I'!L10</f>
        <v>26401330.379999999</v>
      </c>
      <c r="L10" s="82">
        <f>'SEGMENTY I'!L10</f>
        <v>26947405.16</v>
      </c>
      <c r="M10" s="219">
        <f>'SEGMENTY I'!M10-'SEGMENTY I'!N10</f>
        <v>25454206.25999999</v>
      </c>
      <c r="N10" s="81">
        <f>'SEGMENTY I'!N10-'SEGMENTY I'!O10</f>
        <v>25400099.200000003</v>
      </c>
      <c r="O10" s="201">
        <f>'SEGMENTY I'!O10-'SEGMENTY I'!P10</f>
        <v>27205310.740000002</v>
      </c>
      <c r="P10" s="82">
        <v>26174766.850000001</v>
      </c>
      <c r="Q10" s="80">
        <f>'SEGMENTY I'!Q10-'SEGMENTY I'!R10</f>
        <v>19692648.258233428</v>
      </c>
      <c r="R10" s="81">
        <f>'SEGMENTY I'!R10-'SEGMENTY I'!S10</f>
        <v>24740922.477156475</v>
      </c>
      <c r="S10" s="80">
        <f>'SEGMENTY I'!S10-'SEGMENTY I'!T10</f>
        <v>28562092.044610091</v>
      </c>
      <c r="T10" s="82">
        <v>24610051.850000001</v>
      </c>
      <c r="U10" s="80">
        <f>'SEGMENTY I'!U10-'SEGMENTY I'!V10</f>
        <v>16159334.92109327</v>
      </c>
      <c r="V10" s="81">
        <f>'SEGMENTY I'!V10-'SEGMENTY I'!W10</f>
        <v>19477435.627085231</v>
      </c>
      <c r="W10" s="80">
        <f>'SEGMENTY I'!W10-'SEGMENTY I'!X10</f>
        <v>25533049.880105112</v>
      </c>
      <c r="X10" s="82">
        <v>19497871.901716385</v>
      </c>
      <c r="Y10" s="80">
        <f>'SEGMENTY I'!Y10-'SEGMENTY I'!Z10</f>
        <v>16445413.759228878</v>
      </c>
      <c r="Z10" s="81">
        <f>'SEGMENTY I'!Z10-'SEGMENTY I'!AA10</f>
        <v>18595907.380000003</v>
      </c>
      <c r="AA10" s="80">
        <f>'SEGMENTY I'!AA10-'SEGMENTY I'!AB10</f>
        <v>19900159.239999998</v>
      </c>
      <c r="AB10" s="81">
        <v>18176840.760000002</v>
      </c>
    </row>
    <row r="11" spans="1:28" ht="27.95" customHeight="1">
      <c r="A11" s="151" t="s">
        <v>112</v>
      </c>
      <c r="B11" s="81">
        <f>'SEGMENTY I'!B11-'SEGMENTY I'!C11</f>
        <v>2195403.0299999993</v>
      </c>
      <c r="C11" s="201">
        <f>'SEGMENTY I'!C11-'SEGMENTY I'!D11</f>
        <v>2589410.1900000004</v>
      </c>
      <c r="D11" s="82">
        <f>'SEGMENTY I'!D11</f>
        <v>5691845.29</v>
      </c>
      <c r="E11" s="201">
        <f>'SEGMENTY I'!E11-'SEGMENTY I'!F11</f>
        <v>1454263.0101200398</v>
      </c>
      <c r="F11" s="81">
        <f>'SEGMENTY I'!F11-'SEGMENTY I'!G11</f>
        <v>1264870.8600000031</v>
      </c>
      <c r="G11" s="201">
        <f>'SEGMENTY I'!G11-'SEGMENTY I'!H11</f>
        <v>3395177.3299999982</v>
      </c>
      <c r="H11" s="82">
        <f>'SEGMENTY I'!H11</f>
        <v>5687870.2800000012</v>
      </c>
      <c r="I11" s="201">
        <f>'SEGMENTY I'!I11-'SEGMENTY I'!J11</f>
        <v>2652799.913274725</v>
      </c>
      <c r="J11" s="81">
        <f>'SEGMENTY I'!J11-'SEGMENTY I'!K11</f>
        <v>-2948544.5132747227</v>
      </c>
      <c r="K11" s="201">
        <f>'SEGMENTY I'!K11-'SEGMENTY I'!L11</f>
        <v>3936223.2599999988</v>
      </c>
      <c r="L11" s="82">
        <f>'SEGMENTY I'!L11</f>
        <v>5244831.78</v>
      </c>
      <c r="M11" s="219">
        <f>'SEGMENTY I'!M11-'SEGMENTY I'!N11</f>
        <v>5351678.4499999993</v>
      </c>
      <c r="N11" s="81">
        <f>'SEGMENTY I'!N11-'SEGMENTY I'!O11</f>
        <v>197850.6799999997</v>
      </c>
      <c r="O11" s="201">
        <f>'SEGMENTY I'!O11-'SEGMENTY I'!P11</f>
        <v>5811530.3500000006</v>
      </c>
      <c r="P11" s="82">
        <v>5567859.29</v>
      </c>
      <c r="Q11" s="80">
        <f>'SEGMENTY I'!Q11-'SEGMENTY I'!R11</f>
        <v>2698812.2500000019</v>
      </c>
      <c r="R11" s="81">
        <f>'SEGMENTY I'!R11-'SEGMENTY I'!S11</f>
        <v>1456131.5299999956</v>
      </c>
      <c r="S11" s="80">
        <f>'SEGMENTY I'!S11-'SEGMENTY I'!T11</f>
        <v>4173759.7500000019</v>
      </c>
      <c r="T11" s="82">
        <v>5880424.4000000004</v>
      </c>
      <c r="U11" s="80">
        <f>'SEGMENTY I'!U11-'SEGMENTY I'!V11</f>
        <v>8280306.7299999986</v>
      </c>
      <c r="V11" s="81">
        <f>'SEGMENTY I'!V11-'SEGMENTY I'!W11</f>
        <v>2145262.4900000002</v>
      </c>
      <c r="W11" s="80">
        <f>'SEGMENTY I'!W11-'SEGMENTY I'!X11</f>
        <v>5034816.7100000009</v>
      </c>
      <c r="X11" s="82">
        <v>6533216.8599999994</v>
      </c>
      <c r="Y11" s="80">
        <f>'SEGMENTY I'!Y11-'SEGMENTY I'!Z11</f>
        <v>4648300</v>
      </c>
      <c r="Z11" s="81">
        <f>'SEGMENTY I'!Z11-'SEGMENTY I'!AA11</f>
        <v>1789000</v>
      </c>
      <c r="AA11" s="80">
        <f>'SEGMENTY I'!AA11-'SEGMENTY I'!AB11</f>
        <v>4959000</v>
      </c>
      <c r="AB11" s="81">
        <v>8964000</v>
      </c>
    </row>
    <row r="12" spans="1:28" ht="27.95" customHeight="1">
      <c r="A12" s="152" t="s">
        <v>113</v>
      </c>
      <c r="B12" s="206">
        <f>'SEGMENTY I'!B12-'SEGMENTY I'!C12</f>
        <v>23096579.310000002</v>
      </c>
      <c r="C12" s="202">
        <f>SUM(C10:C11)</f>
        <v>24727039.744839828</v>
      </c>
      <c r="D12" s="85">
        <f>SUM(D10:D11)</f>
        <v>30003093.095160171</v>
      </c>
      <c r="E12" s="202">
        <f>E10+E11</f>
        <v>20829671.966841854</v>
      </c>
      <c r="F12" s="206">
        <f>SUM(F10:F11)</f>
        <v>27558379.335617688</v>
      </c>
      <c r="G12" s="202">
        <f>G10+G11</f>
        <v>26223996.101837661</v>
      </c>
      <c r="H12" s="85">
        <f>SUM(H10:H11)</f>
        <v>26878386.000856485</v>
      </c>
      <c r="I12" s="202">
        <f>I10+I11</f>
        <v>34545843.051909827</v>
      </c>
      <c r="J12" s="206">
        <f>SUM(J10:J11)</f>
        <v>22960193.844911903</v>
      </c>
      <c r="K12" s="202">
        <f>K10+K11</f>
        <v>30337553.639999997</v>
      </c>
      <c r="L12" s="85">
        <f>SUM(L10:L11)</f>
        <v>32192236.940000001</v>
      </c>
      <c r="M12" s="220">
        <f>M10+M11</f>
        <v>30805884.70999999</v>
      </c>
      <c r="N12" s="206">
        <f>SUM(N10:N11)</f>
        <v>25597949.880000003</v>
      </c>
      <c r="O12" s="202">
        <f>O10+O11</f>
        <v>33016841.090000004</v>
      </c>
      <c r="P12" s="85">
        <v>31742626.140000001</v>
      </c>
      <c r="Q12" s="80">
        <f>'SEGMENTY I'!Q12-'SEGMENTY I'!R12</f>
        <v>22391460.508233443</v>
      </c>
      <c r="R12" s="81">
        <f>'SEGMENTY I'!R12-'SEGMENTY I'!S12</f>
        <v>26197054.007156461</v>
      </c>
      <c r="S12" s="80">
        <f>'SEGMENTY I'!S12-'SEGMENTY I'!T12</f>
        <v>32735851.794610098</v>
      </c>
      <c r="T12" s="85">
        <v>30490476.25</v>
      </c>
      <c r="U12" s="80">
        <f>'SEGMENTY I'!U12-'SEGMENTY I'!V12</f>
        <v>24439641.651093274</v>
      </c>
      <c r="V12" s="81">
        <f>'SEGMENTY I'!V12-'SEGMENTY I'!W12</f>
        <v>21622698.117085233</v>
      </c>
      <c r="W12" s="80">
        <f>'SEGMENTY I'!W12-'SEGMENTY I'!X12</f>
        <v>30567866.590105113</v>
      </c>
      <c r="X12" s="85">
        <v>26031088.761716384</v>
      </c>
      <c r="Y12" s="80">
        <f>'SEGMENTY I'!Y12-'SEGMENTY I'!Z12</f>
        <v>21093713.759228885</v>
      </c>
      <c r="Z12" s="81">
        <f>'SEGMENTY I'!Z12-'SEGMENTY I'!AA12</f>
        <v>20384907.379999995</v>
      </c>
      <c r="AA12" s="80">
        <f>'SEGMENTY I'!AA12-'SEGMENTY I'!AB12</f>
        <v>24859159.239999998</v>
      </c>
      <c r="AB12" s="84">
        <v>27140840.760000002</v>
      </c>
    </row>
    <row r="13" spans="1:28" ht="27.95" customHeight="1">
      <c r="A13" s="151"/>
      <c r="B13" s="81"/>
      <c r="C13" s="201"/>
      <c r="D13" s="82"/>
      <c r="E13" s="201"/>
      <c r="F13" s="81"/>
      <c r="G13" s="201"/>
      <c r="H13" s="82"/>
      <c r="I13" s="201"/>
      <c r="J13" s="81"/>
      <c r="K13" s="201"/>
      <c r="L13" s="82"/>
      <c r="M13" s="219"/>
      <c r="N13" s="81"/>
      <c r="O13" s="201"/>
      <c r="P13" s="82"/>
      <c r="Q13" s="80"/>
      <c r="R13" s="81"/>
      <c r="S13" s="80"/>
      <c r="T13" s="82"/>
      <c r="U13" s="80"/>
      <c r="V13" s="81"/>
      <c r="W13" s="80"/>
      <c r="X13" s="82"/>
      <c r="Y13" s="80"/>
      <c r="Z13" s="81"/>
      <c r="AA13" s="80"/>
      <c r="AB13" s="81"/>
    </row>
    <row r="14" spans="1:28" ht="27.95" customHeight="1">
      <c r="A14" s="152" t="s">
        <v>114</v>
      </c>
      <c r="B14" s="206">
        <f>'SEGMENTY I'!B14-'SEGMENTY I'!C14</f>
        <v>-1340948.2099999934</v>
      </c>
      <c r="C14" s="202">
        <f>C8-C12</f>
        <v>-311901.38483982906</v>
      </c>
      <c r="D14" s="85">
        <f t="shared" ref="D14" si="0">D8-D12</f>
        <v>7553304.0448398292</v>
      </c>
      <c r="E14" s="202">
        <f t="shared" ref="E14" si="1">E8-E12</f>
        <v>2870300.7431581393</v>
      </c>
      <c r="F14" s="206">
        <f t="shared" ref="F14" si="2">F8-F12</f>
        <v>4958462.314382311</v>
      </c>
      <c r="G14" s="202">
        <f t="shared" ref="G14" si="3">G8-G12</f>
        <v>669972.73816234246</v>
      </c>
      <c r="H14" s="85">
        <f t="shared" ref="H14" si="4">H8-H12</f>
        <v>1961121.9491435178</v>
      </c>
      <c r="I14" s="202">
        <f t="shared" ref="I14" si="5">I8-I12</f>
        <v>12760064.248090178</v>
      </c>
      <c r="J14" s="206">
        <f t="shared" ref="J14:O14" si="6">J8-J12</f>
        <v>-1175658.7949119136</v>
      </c>
      <c r="K14" s="202">
        <f t="shared" si="6"/>
        <v>1364420.1000000052</v>
      </c>
      <c r="L14" s="85">
        <f t="shared" si="6"/>
        <v>-820960.58999999985</v>
      </c>
      <c r="M14" s="220">
        <f t="shared" si="6"/>
        <v>-1806255.2799999826</v>
      </c>
      <c r="N14" s="206">
        <f t="shared" si="6"/>
        <v>-2330563.6800000072</v>
      </c>
      <c r="O14" s="202">
        <f t="shared" si="6"/>
        <v>-729469.34000000358</v>
      </c>
      <c r="P14" s="85">
        <v>-319988.31</v>
      </c>
      <c r="Q14" s="80">
        <f>'SEGMENTY I'!Q14-'SEGMENTY I'!R14</f>
        <v>-2344177.138233447</v>
      </c>
      <c r="R14" s="81">
        <f>'SEGMENTY I'!R14-'SEGMENTY I'!S14</f>
        <v>2275564.0628435463</v>
      </c>
      <c r="S14" s="80">
        <f>'SEGMENTY I'!S14-'SEGMENTY I'!T14</f>
        <v>3067860.1853899006</v>
      </c>
      <c r="T14" s="85">
        <v>822286.49</v>
      </c>
      <c r="U14" s="80">
        <f>'SEGMENTY I'!U14-'SEGMENTY I'!V14</f>
        <v>-2088562.591093272</v>
      </c>
      <c r="V14" s="81">
        <f>'SEGMENTY I'!V14-'SEGMENTY I'!W14</f>
        <v>2509204.5829147696</v>
      </c>
      <c r="W14" s="80">
        <f>'SEGMENTY I'!W14-'SEGMENTY I'!X14</f>
        <v>477213.99989489093</v>
      </c>
      <c r="X14" s="85">
        <v>3197242.5082836114</v>
      </c>
      <c r="Y14" s="80">
        <f>'SEGMENTY I'!Y14-'SEGMENTY I'!Z14</f>
        <v>-240106.9192288816</v>
      </c>
      <c r="Z14" s="81">
        <f>'SEGMENTY I'!Z14-'SEGMENTY I'!AA14</f>
        <v>205092.62000000477</v>
      </c>
      <c r="AA14" s="80">
        <f>'SEGMENTY I'!AA14-'SEGMENTY I'!AB14</f>
        <v>640840.76000000164</v>
      </c>
      <c r="AB14" s="84">
        <v>943159.23999999836</v>
      </c>
    </row>
    <row r="15" spans="1:28" ht="27.95" customHeight="1"/>
    <row r="16" spans="1:28" ht="27.95" customHeight="1"/>
    <row r="17" spans="1:28" ht="27.95" customHeight="1">
      <c r="A17" s="343" t="s">
        <v>157</v>
      </c>
      <c r="B17" s="464" t="s">
        <v>147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</row>
    <row r="18" spans="1:28" ht="27.95" customHeight="1">
      <c r="A18" s="7"/>
      <c r="B18" s="7"/>
      <c r="C18" s="7"/>
      <c r="D18" s="7"/>
      <c r="E18" s="7"/>
      <c r="F18" s="7"/>
      <c r="G18" s="217"/>
      <c r="H18" s="7"/>
      <c r="I18" s="200"/>
      <c r="J18" s="153"/>
      <c r="K18" s="7"/>
      <c r="L18" s="7"/>
      <c r="M18" s="7"/>
      <c r="N18" s="7"/>
      <c r="O18" s="7"/>
      <c r="P18" s="86"/>
      <c r="Q18" s="7"/>
      <c r="R18" s="7"/>
      <c r="S18" s="7"/>
      <c r="T18" s="7"/>
      <c r="U18" s="7"/>
      <c r="V18" s="7"/>
    </row>
    <row r="19" spans="1:28" ht="27.95" customHeight="1">
      <c r="A19" s="149"/>
      <c r="B19" s="74" t="s">
        <v>216</v>
      </c>
      <c r="C19" s="204" t="s">
        <v>213</v>
      </c>
      <c r="D19" s="203" t="s">
        <v>211</v>
      </c>
      <c r="E19" s="204" t="s">
        <v>209</v>
      </c>
      <c r="F19" s="74" t="s">
        <v>208</v>
      </c>
      <c r="G19" s="204" t="s">
        <v>202</v>
      </c>
      <c r="H19" s="203" t="s">
        <v>199</v>
      </c>
      <c r="I19" s="204" t="s">
        <v>198</v>
      </c>
      <c r="J19" s="74" t="s">
        <v>197</v>
      </c>
      <c r="K19" s="204" t="s">
        <v>194</v>
      </c>
      <c r="L19" s="203" t="s">
        <v>191</v>
      </c>
      <c r="M19" s="218" t="s">
        <v>190</v>
      </c>
      <c r="N19" s="74" t="s">
        <v>188</v>
      </c>
      <c r="O19" s="204" t="s">
        <v>185</v>
      </c>
      <c r="P19" s="203" t="s">
        <v>163</v>
      </c>
      <c r="Q19" s="73" t="s">
        <v>118</v>
      </c>
      <c r="R19" s="74" t="s">
        <v>25</v>
      </c>
      <c r="S19" s="75" t="s">
        <v>26</v>
      </c>
      <c r="T19" s="76" t="s">
        <v>16</v>
      </c>
      <c r="U19" s="75" t="s">
        <v>27</v>
      </c>
      <c r="V19" s="74" t="s">
        <v>28</v>
      </c>
      <c r="W19" s="75" t="s">
        <v>29</v>
      </c>
      <c r="X19" s="76" t="s">
        <v>20</v>
      </c>
      <c r="Y19" s="75" t="s">
        <v>30</v>
      </c>
      <c r="Z19" s="74" t="s">
        <v>31</v>
      </c>
      <c r="AA19" s="75" t="s">
        <v>32</v>
      </c>
      <c r="AB19" s="74" t="s">
        <v>24</v>
      </c>
    </row>
    <row r="20" spans="1:28" ht="27.95" customHeight="1">
      <c r="A20" s="150" t="s">
        <v>115</v>
      </c>
      <c r="B20" s="207">
        <f>'SEGMENTY I'!B20-'SEGMENTY I'!C20</f>
        <v>9220940.2700000033</v>
      </c>
      <c r="C20" s="205">
        <f>'SEGMENTY I'!C20-'SEGMENTY I'!D20</f>
        <v>31810059.880000003</v>
      </c>
      <c r="D20" s="79">
        <f>'SEGMENTY I'!D20</f>
        <v>33279017.469999999</v>
      </c>
      <c r="E20" s="205">
        <f>'SEGMENTY I'!E20-'SEGMENTY I'!F20</f>
        <v>9651119.2699999809</v>
      </c>
      <c r="F20" s="207">
        <f>'SEGMENTY I'!F20-'SEGMENTY I'!G20</f>
        <v>11322895.190000013</v>
      </c>
      <c r="G20" s="205">
        <f>'SEGMENTY I'!G20-'SEGMENTY I'!H20</f>
        <v>32587399.530000001</v>
      </c>
      <c r="H20" s="79">
        <f>'SEGMENTY I'!H20</f>
        <v>30832614.060000002</v>
      </c>
      <c r="I20" s="205">
        <f>'SEGMENTY I'!I20-'SEGMENTY I'!J20</f>
        <v>7537426.5500000119</v>
      </c>
      <c r="J20" s="207">
        <f>'SEGMENTY I'!J20-'SEGMENTY I'!K20</f>
        <v>10713773.390000001</v>
      </c>
      <c r="K20" s="205">
        <f>'SEGMENTY I'!K20-'SEGMENTY I'!L20</f>
        <v>28599021.799999997</v>
      </c>
      <c r="L20" s="79">
        <f>'SEGMENTY I'!L20</f>
        <v>34505661.890000001</v>
      </c>
      <c r="M20" s="219">
        <f>'SEGMENTY I'!M20-'SEGMENTY I'!N20</f>
        <v>6119545.6899999976</v>
      </c>
      <c r="N20" s="207">
        <f>'SEGMENTY I'!N20-'SEGMENTY I'!O20</f>
        <v>10483245.790000007</v>
      </c>
      <c r="O20" s="205">
        <f>'SEGMENTY I'!O20-'SEGMENTY I'!P20</f>
        <v>34346178.439999998</v>
      </c>
      <c r="P20" s="79">
        <v>34495191.420000002</v>
      </c>
      <c r="Q20" s="77">
        <f>'SEGMENTY I'!Q20-'SEGMENTY I'!R20</f>
        <v>6031799.8699999899</v>
      </c>
      <c r="R20" s="78">
        <f>'SEGMENTY I'!R20-'SEGMENTY I'!S20</f>
        <v>8039217.4300000072</v>
      </c>
      <c r="S20" s="77">
        <f>'SEGMENTY I'!S20-'SEGMENTY I'!T20</f>
        <v>33766559.940000005</v>
      </c>
      <c r="T20" s="79">
        <v>40025644.910000004</v>
      </c>
      <c r="U20" s="77">
        <f>'SEGMENTY I'!U20-'SEGMENTY I'!V20</f>
        <v>8971354.7200000137</v>
      </c>
      <c r="V20" s="78">
        <f>'SEGMENTY I'!V20-'SEGMENTY I'!W20</f>
        <v>8230320.8399999887</v>
      </c>
      <c r="W20" s="77">
        <f>'SEGMENTY I'!W20-'SEGMENTY I'!X20</f>
        <v>36090655.390000001</v>
      </c>
      <c r="X20" s="79">
        <v>30779497.77</v>
      </c>
      <c r="Y20" s="77">
        <f>'SEGMENTY I'!Y20-'SEGMENTY I'!Z20</f>
        <v>2403265.1099999994</v>
      </c>
      <c r="Z20" s="78">
        <f>'SEGMENTY I'!Z20-'SEGMENTY I'!AA20</f>
        <v>8509638.9099999964</v>
      </c>
      <c r="AA20" s="77">
        <f>'SEGMENTY I'!AA20-'SEGMENTY I'!AB20</f>
        <v>35338454.120000005</v>
      </c>
      <c r="AB20" s="78">
        <v>31245978.989999998</v>
      </c>
    </row>
    <row r="21" spans="1:28" ht="27.95" customHeight="1">
      <c r="A21" s="151" t="s">
        <v>109</v>
      </c>
      <c r="B21" s="81">
        <f>'SEGMENTY I'!B21-'SEGMENTY I'!C21</f>
        <v>201158.34000000032</v>
      </c>
      <c r="C21" s="201">
        <f>'SEGMENTY I'!C21-'SEGMENTY I'!D21</f>
        <v>567317.68999999994</v>
      </c>
      <c r="D21" s="82">
        <f>'SEGMENTY I'!D21</f>
        <v>1937686.96</v>
      </c>
      <c r="E21" s="201">
        <f>'SEGMENTY I'!E21-'SEGMENTY I'!F21</f>
        <v>1663230.7800000012</v>
      </c>
      <c r="F21" s="81">
        <f>'SEGMENTY I'!F21-'SEGMENTY I'!G21</f>
        <v>2803042.4600000009</v>
      </c>
      <c r="G21" s="201">
        <f>'SEGMENTY I'!G21-'SEGMENTY I'!H21</f>
        <v>5584941.8700000001</v>
      </c>
      <c r="H21" s="82">
        <f>'SEGMENTY I'!H21</f>
        <v>7592989.6499999994</v>
      </c>
      <c r="I21" s="201">
        <f>'SEGMENTY I'!I21-'SEGMENTY I'!J21</f>
        <v>6413375.1699999981</v>
      </c>
      <c r="J21" s="81">
        <f>'SEGMENTY I'!J21-'SEGMENTY I'!K21</f>
        <v>997193.16999999993</v>
      </c>
      <c r="K21" s="201">
        <f>'SEGMENTY I'!K21-'SEGMENTY I'!L21</f>
        <v>1348259.83</v>
      </c>
      <c r="L21" s="82">
        <f>'SEGMENTY I'!L21</f>
        <v>8066056.2699999996</v>
      </c>
      <c r="M21" s="219">
        <f>'SEGMENTY I'!M21-'SEGMENTY I'!N21</f>
        <v>6035880.9000000022</v>
      </c>
      <c r="N21" s="81">
        <f>'SEGMENTY I'!N21-'SEGMENTY I'!O21</f>
        <v>192844.6099999994</v>
      </c>
      <c r="O21" s="201">
        <f>'SEGMENTY I'!O21-'SEGMENTY I'!P21</f>
        <v>2205912.8000000007</v>
      </c>
      <c r="P21" s="82">
        <v>8526580.4499999993</v>
      </c>
      <c r="Q21" s="80">
        <f>'SEGMENTY I'!Q21-'SEGMENTY I'!R21</f>
        <v>6768735.4199999999</v>
      </c>
      <c r="R21" s="81">
        <f>'SEGMENTY I'!R21-'SEGMENTY I'!S21</f>
        <v>1725343.0299999993</v>
      </c>
      <c r="S21" s="80">
        <f>'SEGMENTY I'!S21-'SEGMENTY I'!T21</f>
        <v>3538317.1400000006</v>
      </c>
      <c r="T21" s="82">
        <v>7038287.6099999994</v>
      </c>
      <c r="U21" s="80">
        <f>'SEGMENTY I'!U21-'SEGMENTY I'!V21</f>
        <v>415032.99999999814</v>
      </c>
      <c r="V21" s="81">
        <f>'SEGMENTY I'!V21-'SEGMENTY I'!W21</f>
        <v>12392382.260000002</v>
      </c>
      <c r="W21" s="80">
        <f>'SEGMENTY I'!W21-'SEGMENTY I'!X21</f>
        <v>-3017865.9699999997</v>
      </c>
      <c r="X21" s="82">
        <v>7003451.9100000001</v>
      </c>
      <c r="Y21" s="80">
        <f>'SEGMENTY I'!Y21-'SEGMENTY I'!Z21</f>
        <v>8924109.1400000006</v>
      </c>
      <c r="Z21" s="81">
        <f>'SEGMENTY I'!Z21-'SEGMENTY I'!AA21</f>
        <v>-309000</v>
      </c>
      <c r="AA21" s="80">
        <f>'SEGMENTY I'!AA21-'SEGMENTY I'!AB21</f>
        <v>6623000</v>
      </c>
      <c r="AB21" s="81">
        <v>7026000</v>
      </c>
    </row>
    <row r="22" spans="1:28" ht="27.95" customHeight="1">
      <c r="A22" s="152" t="s">
        <v>110</v>
      </c>
      <c r="B22" s="206">
        <f>'SEGMENTY I'!B22-'SEGMENTY I'!C22</f>
        <v>9422098.6099999994</v>
      </c>
      <c r="C22" s="202">
        <f>SUM(C20:C21)</f>
        <v>32377377.570000004</v>
      </c>
      <c r="D22" s="85">
        <f>SUM(D20:D21)</f>
        <v>35216704.43</v>
      </c>
      <c r="E22" s="202">
        <f>E20+E21</f>
        <v>11314350.049999982</v>
      </c>
      <c r="F22" s="206">
        <f>SUM(F20:F21)</f>
        <v>14125937.650000013</v>
      </c>
      <c r="G22" s="202">
        <f>G20+G21</f>
        <v>38172341.399999999</v>
      </c>
      <c r="H22" s="85">
        <f>SUM(H20:H21)</f>
        <v>38425603.710000001</v>
      </c>
      <c r="I22" s="202">
        <f>I20+I21</f>
        <v>13950801.72000001</v>
      </c>
      <c r="J22" s="206">
        <f>SUM(J20:J21)</f>
        <v>11710966.560000001</v>
      </c>
      <c r="K22" s="202">
        <f>K20+K21</f>
        <v>29947281.629999995</v>
      </c>
      <c r="L22" s="85">
        <f>SUM(L20:L21)</f>
        <v>42571718.159999996</v>
      </c>
      <c r="M22" s="220">
        <f>M20+M21</f>
        <v>12155426.59</v>
      </c>
      <c r="N22" s="206">
        <f>SUM(N20:N21)</f>
        <v>10676090.400000006</v>
      </c>
      <c r="O22" s="202">
        <f>O20+O21</f>
        <v>36552091.239999995</v>
      </c>
      <c r="P22" s="85">
        <v>43021771.869999997</v>
      </c>
      <c r="Q22" s="80">
        <f>'SEGMENTY I'!Q22-'SEGMENTY I'!R22</f>
        <v>12800535.289999977</v>
      </c>
      <c r="R22" s="81">
        <f>'SEGMENTY I'!R22-'SEGMENTY I'!S22</f>
        <v>9764560.4600000083</v>
      </c>
      <c r="S22" s="80">
        <f>'SEGMENTY I'!S22-'SEGMENTY I'!T22</f>
        <v>37304877.080000006</v>
      </c>
      <c r="T22" s="85">
        <v>47063932.520000003</v>
      </c>
      <c r="U22" s="80">
        <f>'SEGMENTY I'!U22-'SEGMENTY I'!V22</f>
        <v>9386387.7200000137</v>
      </c>
      <c r="V22" s="81">
        <f>'SEGMENTY I'!V22-'SEGMENTY I'!W22</f>
        <v>20622703.099999994</v>
      </c>
      <c r="W22" s="80">
        <f>'SEGMENTY I'!W22-'SEGMENTY I'!X22</f>
        <v>33072789.419999994</v>
      </c>
      <c r="X22" s="85">
        <v>37782949.68</v>
      </c>
      <c r="Y22" s="80">
        <f>'SEGMENTY I'!Y22-'SEGMENTY I'!Z22</f>
        <v>11327374.25</v>
      </c>
      <c r="Z22" s="81">
        <f>'SEGMENTY I'!Z22-'SEGMENTY I'!AA22</f>
        <v>8200638.9099999964</v>
      </c>
      <c r="AA22" s="80">
        <f>'SEGMENTY I'!AA22-'SEGMENTY I'!AB22</f>
        <v>41961454.120000005</v>
      </c>
      <c r="AB22" s="84">
        <v>38271978.989999995</v>
      </c>
    </row>
    <row r="23" spans="1:28" ht="27.95" customHeight="1">
      <c r="A23" s="151"/>
      <c r="B23" s="81"/>
      <c r="C23" s="201"/>
      <c r="D23" s="82"/>
      <c r="E23" s="201"/>
      <c r="F23" s="81"/>
      <c r="G23" s="201"/>
      <c r="H23" s="82"/>
      <c r="I23" s="201"/>
      <c r="J23" s="81"/>
      <c r="K23" s="201"/>
      <c r="L23" s="82"/>
      <c r="M23" s="221"/>
      <c r="N23" s="81"/>
      <c r="O23" s="201"/>
      <c r="P23" s="82"/>
      <c r="Q23" s="80"/>
      <c r="R23" s="81"/>
      <c r="S23" s="80"/>
      <c r="T23" s="82"/>
      <c r="U23" s="80"/>
      <c r="V23" s="81"/>
      <c r="W23" s="80"/>
      <c r="X23" s="82"/>
      <c r="Y23" s="80"/>
      <c r="Z23" s="81"/>
      <c r="AA23" s="80"/>
      <c r="AB23" s="81"/>
    </row>
    <row r="24" spans="1:28" ht="27.95" customHeight="1">
      <c r="A24" s="151" t="s">
        <v>111</v>
      </c>
      <c r="B24" s="81">
        <f>'SEGMENTY I'!B24-'SEGMENTY I'!C24</f>
        <v>10817269.530000001</v>
      </c>
      <c r="C24" s="201">
        <f>'SEGMENTY I'!C24-'SEGMENTY I'!D24</f>
        <v>29897127.040000003</v>
      </c>
      <c r="D24" s="82">
        <f>'SEGMENTY I'!D24</f>
        <v>30324299.02</v>
      </c>
      <c r="E24" s="201">
        <f>'SEGMENTY I'!E24-'SEGMENTY I'!F24</f>
        <v>14259722.430000007</v>
      </c>
      <c r="F24" s="81">
        <f>'SEGMENTY I'!F24-'SEGMENTY I'!G24</f>
        <v>13543191.159999996</v>
      </c>
      <c r="G24" s="201">
        <f>'SEGMENTY I'!G24-'SEGMENTY I'!H24</f>
        <v>29623008.829999998</v>
      </c>
      <c r="H24" s="82">
        <f>'SEGMENTY I'!H24</f>
        <v>27198142.670000002</v>
      </c>
      <c r="I24" s="201">
        <f>'SEGMENTY I'!I24-'SEGMENTY I'!J24</f>
        <v>12095711.280000001</v>
      </c>
      <c r="J24" s="81">
        <f>'SEGMENTY I'!J24-'SEGMENTY I'!K24</f>
        <v>12114420.399999999</v>
      </c>
      <c r="K24" s="201">
        <f>'SEGMENTY I'!K24-'SEGMENTY I'!L24</f>
        <v>24755414.549999997</v>
      </c>
      <c r="L24" s="82">
        <f>'SEGMENTY I'!L24</f>
        <v>28863350.82</v>
      </c>
      <c r="M24" s="219">
        <f>'SEGMENTY I'!M24-'SEGMENTY I'!N24</f>
        <v>9593350.3599999994</v>
      </c>
      <c r="N24" s="81">
        <f>'SEGMENTY I'!N24-'SEGMENTY I'!O24</f>
        <v>16336160.570000008</v>
      </c>
      <c r="O24" s="201">
        <f>'SEGMENTY I'!O24-'SEGMENTY I'!P24</f>
        <v>29643504.859999996</v>
      </c>
      <c r="P24" s="82">
        <v>30758296.550000001</v>
      </c>
      <c r="Q24" s="80">
        <f>'SEGMENTY I'!Q24-'SEGMENTY I'!R24</f>
        <v>10102112.140000015</v>
      </c>
      <c r="R24" s="81">
        <f>'SEGMENTY I'!R24-'SEGMENTY I'!S24</f>
        <v>11497419.139999978</v>
      </c>
      <c r="S24" s="80">
        <f>'SEGMENTY I'!S24-'SEGMENTY I'!T24</f>
        <v>26101737.690000005</v>
      </c>
      <c r="T24" s="82">
        <v>34356595.5</v>
      </c>
      <c r="U24" s="80">
        <f>'SEGMENTY I'!U24-'SEGMENTY I'!V24</f>
        <v>12371016.391276389</v>
      </c>
      <c r="V24" s="81">
        <f>'SEGMENTY I'!V24-'SEGMENTY I'!W24</f>
        <v>10812058.38000001</v>
      </c>
      <c r="W24" s="80">
        <f>'SEGMENTY I'!W24-'SEGMENTY I'!X24</f>
        <v>30762391.429999996</v>
      </c>
      <c r="X24" s="82">
        <v>27922779.120000001</v>
      </c>
      <c r="Y24" s="80">
        <f>'SEGMENTY I'!Y24-'SEGMENTY I'!Z24</f>
        <v>8250785.599999994</v>
      </c>
      <c r="Z24" s="81">
        <f>'SEGMENTY I'!Z24-'SEGMENTY I'!AA24</f>
        <v>10427098.07</v>
      </c>
      <c r="AA24" s="80">
        <f>'SEGMENTY I'!AA24-'SEGMENTY I'!AB24</f>
        <v>31177507.91</v>
      </c>
      <c r="AB24" s="81">
        <v>26535802.989999998</v>
      </c>
    </row>
    <row r="25" spans="1:28" ht="27.95" customHeight="1">
      <c r="A25" s="151" t="s">
        <v>112</v>
      </c>
      <c r="B25" s="81">
        <f>'SEGMENTY I'!B25-'SEGMENTY I'!C25</f>
        <v>231899.6799999997</v>
      </c>
      <c r="C25" s="201">
        <f>'SEGMENTY I'!C25-'SEGMENTY I'!D25</f>
        <v>574906.90000000014</v>
      </c>
      <c r="D25" s="82">
        <f>'SEGMENTY I'!D25</f>
        <v>1918197.45</v>
      </c>
      <c r="E25" s="201">
        <f>'SEGMENTY I'!E25-'SEGMENTY I'!F25</f>
        <v>1092912.7437899057</v>
      </c>
      <c r="F25" s="81">
        <f>'SEGMENTY I'!F25-'SEGMENTY I'!G25</f>
        <v>2284263.8900000025</v>
      </c>
      <c r="G25" s="201">
        <f>'SEGMENTY I'!G25-'SEGMENTY I'!H25</f>
        <v>5259311.1899999995</v>
      </c>
      <c r="H25" s="82">
        <f>'SEGMENTY I'!H25</f>
        <v>7173894.709999999</v>
      </c>
      <c r="I25" s="201">
        <f>'SEGMENTY I'!I25-'SEGMENTY I'!J25</f>
        <v>5104882.129999999</v>
      </c>
      <c r="J25" s="81">
        <f>'SEGMENTY I'!J25-'SEGMENTY I'!K25</f>
        <v>1760427.2899999991</v>
      </c>
      <c r="K25" s="201">
        <f>'SEGMENTY I'!K25-'SEGMENTY I'!L25</f>
        <v>1503967.33</v>
      </c>
      <c r="L25" s="82">
        <f>'SEGMENTY I'!L25</f>
        <v>7986475.7300000004</v>
      </c>
      <c r="M25" s="219">
        <f>'SEGMENTY I'!M25-'SEGMENTY I'!N25</f>
        <v>5775142.1000000015</v>
      </c>
      <c r="N25" s="81">
        <f>'SEGMENTY I'!N25-'SEGMENTY I'!O25</f>
        <v>166446.25999999978</v>
      </c>
      <c r="O25" s="201">
        <f>'SEGMENTY I'!O25-'SEGMENTY I'!P25</f>
        <v>2204779.379999999</v>
      </c>
      <c r="P25" s="82">
        <v>8682943.8100000005</v>
      </c>
      <c r="Q25" s="80">
        <f>'SEGMENTY I'!Q25-'SEGMENTY I'!R25</f>
        <v>6638685.5</v>
      </c>
      <c r="R25" s="81">
        <f>'SEGMENTY I'!R25-'SEGMENTY I'!S25</f>
        <v>1722014.9699999988</v>
      </c>
      <c r="S25" s="80">
        <f>'SEGMENTY I'!S25-'SEGMENTY I'!T25</f>
        <v>3682049.7</v>
      </c>
      <c r="T25" s="82">
        <v>6888434.4799999995</v>
      </c>
      <c r="U25" s="80">
        <f>'SEGMENTY I'!U25-'SEGMENTY I'!V25</f>
        <v>445956.34999999963</v>
      </c>
      <c r="V25" s="81">
        <f>'SEGMENTY I'!V25-'SEGMENTY I'!W25</f>
        <v>12622257.52</v>
      </c>
      <c r="W25" s="80">
        <f>'SEGMENTY I'!W25-'SEGMENTY I'!X25</f>
        <v>-2590412.1599999997</v>
      </c>
      <c r="X25" s="82">
        <v>6583442.5099999998</v>
      </c>
      <c r="Y25" s="80">
        <f>'SEGMENTY I'!Y25-'SEGMENTY I'!Z25</f>
        <v>9074275.6700000018</v>
      </c>
      <c r="Z25" s="81">
        <f>'SEGMENTY I'!Z25-'SEGMENTY I'!AA25</f>
        <v>-480000</v>
      </c>
      <c r="AA25" s="80">
        <f>'SEGMENTY I'!AA25-'SEGMENTY I'!AB25</f>
        <v>6843000</v>
      </c>
      <c r="AB25" s="81">
        <v>6745000</v>
      </c>
    </row>
    <row r="26" spans="1:28" ht="27.95" customHeight="1">
      <c r="A26" s="152" t="s">
        <v>113</v>
      </c>
      <c r="B26" s="206">
        <f>'SEGMENTY I'!B26-'SEGMENTY I'!C26</f>
        <v>11049169.210000001</v>
      </c>
      <c r="C26" s="202">
        <f>SUM(C24:C25)</f>
        <v>30472033.940000001</v>
      </c>
      <c r="D26" s="85">
        <f>SUM(D24:D25)</f>
        <v>32242496.469999999</v>
      </c>
      <c r="E26" s="202">
        <f>E24+E25</f>
        <v>15352635.173789913</v>
      </c>
      <c r="F26" s="206">
        <f>SUM(F24:F25)</f>
        <v>15827455.049999999</v>
      </c>
      <c r="G26" s="202">
        <f>G24+G25</f>
        <v>34882320.019999996</v>
      </c>
      <c r="H26" s="85">
        <f>SUM(H24:H25)</f>
        <v>34372037.380000003</v>
      </c>
      <c r="I26" s="202">
        <f>I24+I25</f>
        <v>17200593.41</v>
      </c>
      <c r="J26" s="206">
        <f>SUM(J24:J25)</f>
        <v>13874847.689999998</v>
      </c>
      <c r="K26" s="202">
        <f>K24+K25</f>
        <v>26259381.879999995</v>
      </c>
      <c r="L26" s="85">
        <f>SUM(L24:L25)</f>
        <v>36849826.549999997</v>
      </c>
      <c r="M26" s="220">
        <f>M24+M25</f>
        <v>15368492.460000001</v>
      </c>
      <c r="N26" s="206">
        <f>SUM(N24:N25)</f>
        <v>16502606.830000008</v>
      </c>
      <c r="O26" s="202">
        <f>O24+O25</f>
        <v>31848284.239999995</v>
      </c>
      <c r="P26" s="85">
        <v>39441240.359999999</v>
      </c>
      <c r="Q26" s="80">
        <f>'SEGMENTY I'!Q26-'SEGMENTY I'!R26</f>
        <v>16740797.640000015</v>
      </c>
      <c r="R26" s="81">
        <f>'SEGMENTY I'!R26-'SEGMENTY I'!S26</f>
        <v>13219434.109999985</v>
      </c>
      <c r="S26" s="80">
        <f>'SEGMENTY I'!S26-'SEGMENTY I'!T26</f>
        <v>29783787.390000008</v>
      </c>
      <c r="T26" s="85">
        <v>41245029.979999997</v>
      </c>
      <c r="U26" s="80">
        <f>'SEGMENTY I'!U26-'SEGMENTY I'!V26</f>
        <v>12816972.741276398</v>
      </c>
      <c r="V26" s="81">
        <f>'SEGMENTY I'!V26-'SEGMENTY I'!W26</f>
        <v>23434315.899999999</v>
      </c>
      <c r="W26" s="80">
        <f>'SEGMENTY I'!W26-'SEGMENTY I'!X26</f>
        <v>28171979.269999996</v>
      </c>
      <c r="X26" s="85">
        <v>34506221.630000003</v>
      </c>
      <c r="Y26" s="80">
        <f>'SEGMENTY I'!Y26-'SEGMENTY I'!Z26</f>
        <v>17325061.269999996</v>
      </c>
      <c r="Z26" s="81">
        <f>'SEGMENTY I'!Z26-'SEGMENTY I'!AA26</f>
        <v>9947098.0699999928</v>
      </c>
      <c r="AA26" s="80">
        <f>'SEGMENTY I'!AA26-'SEGMENTY I'!AB26</f>
        <v>38020507.910000011</v>
      </c>
      <c r="AB26" s="84">
        <v>33280802.989999998</v>
      </c>
    </row>
    <row r="27" spans="1:28" ht="27.95" customHeight="1">
      <c r="A27" s="151"/>
      <c r="B27" s="81"/>
      <c r="C27" s="201"/>
      <c r="D27" s="82"/>
      <c r="E27" s="201"/>
      <c r="F27" s="81"/>
      <c r="G27" s="201"/>
      <c r="H27" s="82"/>
      <c r="I27" s="201"/>
      <c r="J27" s="81"/>
      <c r="K27" s="201"/>
      <c r="L27" s="82"/>
      <c r="M27" s="219"/>
      <c r="N27" s="81"/>
      <c r="O27" s="201"/>
      <c r="P27" s="82"/>
      <c r="Q27" s="80"/>
      <c r="R27" s="81"/>
      <c r="S27" s="80"/>
      <c r="T27" s="82"/>
      <c r="U27" s="80"/>
      <c r="V27" s="81"/>
      <c r="W27" s="80"/>
      <c r="X27" s="82"/>
      <c r="Y27" s="80"/>
      <c r="Z27" s="81"/>
      <c r="AA27" s="80"/>
      <c r="AB27" s="81"/>
    </row>
    <row r="28" spans="1:28" ht="27.95" customHeight="1">
      <c r="A28" s="152" t="s">
        <v>114</v>
      </c>
      <c r="B28" s="206">
        <f>'SEGMENTY I'!B28-'SEGMENTY I'!C28</f>
        <v>-1627070.6000000015</v>
      </c>
      <c r="C28" s="202">
        <f t="shared" ref="C28:D28" si="7">C22-C26</f>
        <v>1905343.6300000027</v>
      </c>
      <c r="D28" s="85">
        <f t="shared" si="7"/>
        <v>2974207.9600000009</v>
      </c>
      <c r="E28" s="202">
        <f t="shared" ref="E28" si="8">E22-E26</f>
        <v>-4038285.1237899307</v>
      </c>
      <c r="F28" s="206">
        <f t="shared" ref="F28" si="9">F22-F26</f>
        <v>-1701517.3999999855</v>
      </c>
      <c r="G28" s="202">
        <f t="shared" ref="G28" si="10">G22-G26</f>
        <v>3290021.3800000027</v>
      </c>
      <c r="H28" s="85">
        <f t="shared" ref="H28" si="11">H22-H26</f>
        <v>4053566.3299999982</v>
      </c>
      <c r="I28" s="202">
        <f t="shared" ref="I28" si="12">I22-I26</f>
        <v>-3249791.6899999902</v>
      </c>
      <c r="J28" s="206">
        <f t="shared" ref="J28:O28" si="13">J22-J26</f>
        <v>-2163881.1299999971</v>
      </c>
      <c r="K28" s="202">
        <f t="shared" si="13"/>
        <v>3687899.75</v>
      </c>
      <c r="L28" s="85">
        <f t="shared" si="13"/>
        <v>5721891.6099999994</v>
      </c>
      <c r="M28" s="220">
        <f t="shared" si="13"/>
        <v>-3213065.870000001</v>
      </c>
      <c r="N28" s="206">
        <f t="shared" si="13"/>
        <v>-5826516.4300000016</v>
      </c>
      <c r="O28" s="202">
        <f t="shared" si="13"/>
        <v>4703807</v>
      </c>
      <c r="P28" s="85">
        <v>3580531.51</v>
      </c>
      <c r="Q28" s="80">
        <f>'SEGMENTY I'!Q28-'SEGMENTY I'!R28</f>
        <v>-3940262.3500000276</v>
      </c>
      <c r="R28" s="81">
        <f>'SEGMENTY I'!R28-'SEGMENTY I'!S28</f>
        <v>-3454873.6499999762</v>
      </c>
      <c r="S28" s="80">
        <f>'SEGMENTY I'!S28-'SEGMENTY I'!T28</f>
        <v>7521089.6899999976</v>
      </c>
      <c r="T28" s="85">
        <v>5818902.5400000066</v>
      </c>
      <c r="U28" s="80">
        <f>'SEGMENTY I'!U28-'SEGMENTY I'!V28</f>
        <v>-3430585.0212763939</v>
      </c>
      <c r="V28" s="81">
        <f>'SEGMENTY I'!V28-'SEGMENTY I'!W28</f>
        <v>-2811612.8</v>
      </c>
      <c r="W28" s="80">
        <f>'SEGMENTY I'!W28-'SEGMENTY I'!X28</f>
        <v>4900810.1500000004</v>
      </c>
      <c r="X28" s="85">
        <v>3276728.05</v>
      </c>
      <c r="Y28" s="80">
        <f>'SEGMENTY I'!Y28-'SEGMENTY I'!Z28</f>
        <v>-5997687.0199999996</v>
      </c>
      <c r="Z28" s="81">
        <f>'SEGMENTY I'!Z28-'SEGMENTY I'!AA28</f>
        <v>-1746459.1600000011</v>
      </c>
      <c r="AA28" s="80">
        <f>'SEGMENTY I'!AA28-'SEGMENTY I'!AB28</f>
        <v>3940946.2100000009</v>
      </c>
      <c r="AB28" s="84">
        <v>4991176</v>
      </c>
    </row>
    <row r="29" spans="1:28" ht="27.95" customHeight="1"/>
    <row r="30" spans="1:28" ht="27.95" customHeight="1"/>
    <row r="31" spans="1:28" ht="27.95" customHeight="1">
      <c r="A31" s="343" t="s">
        <v>156</v>
      </c>
      <c r="B31" s="464" t="s">
        <v>147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</row>
    <row r="32" spans="1:28" ht="27.95" customHeight="1">
      <c r="A32" s="7"/>
      <c r="B32" s="7"/>
      <c r="C32" s="7"/>
      <c r="D32" s="7"/>
      <c r="E32" s="7"/>
      <c r="F32" s="7"/>
      <c r="G32" s="217"/>
      <c r="H32" s="7"/>
      <c r="I32" s="20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8" ht="27.95" customHeight="1">
      <c r="A33" s="149"/>
      <c r="B33" s="74" t="s">
        <v>216</v>
      </c>
      <c r="C33" s="204" t="s">
        <v>213</v>
      </c>
      <c r="D33" s="203" t="s">
        <v>211</v>
      </c>
      <c r="E33" s="204" t="s">
        <v>209</v>
      </c>
      <c r="F33" s="74" t="s">
        <v>208</v>
      </c>
      <c r="G33" s="204" t="s">
        <v>202</v>
      </c>
      <c r="H33" s="203" t="s">
        <v>199</v>
      </c>
      <c r="I33" s="204" t="s">
        <v>198</v>
      </c>
      <c r="J33" s="74" t="s">
        <v>197</v>
      </c>
      <c r="K33" s="204" t="s">
        <v>194</v>
      </c>
      <c r="L33" s="203" t="s">
        <v>191</v>
      </c>
      <c r="M33" s="218" t="s">
        <v>190</v>
      </c>
      <c r="N33" s="74" t="s">
        <v>188</v>
      </c>
      <c r="O33" s="204" t="s">
        <v>185</v>
      </c>
      <c r="P33" s="203" t="s">
        <v>163</v>
      </c>
      <c r="Q33" s="73" t="s">
        <v>118</v>
      </c>
      <c r="R33" s="74" t="s">
        <v>25</v>
      </c>
      <c r="S33" s="73" t="s">
        <v>26</v>
      </c>
      <c r="T33" s="76" t="s">
        <v>16</v>
      </c>
      <c r="U33" s="73" t="s">
        <v>27</v>
      </c>
      <c r="V33" s="74" t="s">
        <v>28</v>
      </c>
      <c r="W33" s="73" t="s">
        <v>29</v>
      </c>
      <c r="X33" s="76" t="s">
        <v>20</v>
      </c>
      <c r="Y33" s="73" t="s">
        <v>30</v>
      </c>
      <c r="Z33" s="74" t="s">
        <v>31</v>
      </c>
      <c r="AA33" s="73" t="s">
        <v>32</v>
      </c>
      <c r="AB33" s="74" t="s">
        <v>24</v>
      </c>
    </row>
    <row r="34" spans="1:28" ht="27.95" customHeight="1">
      <c r="A34" s="150" t="s">
        <v>115</v>
      </c>
      <c r="B34" s="207">
        <f>'SEGMENTY I'!B34-'SEGMENTY I'!C34</f>
        <v>12040202.780000003</v>
      </c>
      <c r="C34" s="205">
        <f>'SEGMENTY I'!C34-'SEGMENTY I'!D34</f>
        <v>2370548.1199999992</v>
      </c>
      <c r="D34" s="79">
        <f>'SEGMENTY I'!D34</f>
        <v>2520850.16</v>
      </c>
      <c r="E34" s="205">
        <f>'SEGMENTY I'!E34-'SEGMENTY I'!F34</f>
        <v>27584412.090000011</v>
      </c>
      <c r="F34" s="207">
        <f>'SEGMENTY I'!F34-'SEGMENTY I'!G34</f>
        <v>3186699.9599999934</v>
      </c>
      <c r="G34" s="205">
        <f>'SEGMENTY I'!G34-'SEGMENTY I'!H34</f>
        <v>3935660.53</v>
      </c>
      <c r="H34" s="79">
        <f>'SEGMENTY I'!H34</f>
        <v>2903304.23</v>
      </c>
      <c r="I34" s="205">
        <f>'SEGMENTY I'!I34-'SEGMENTY I'!J34</f>
        <v>30220417.470000006</v>
      </c>
      <c r="J34" s="207">
        <f>'SEGMENTY I'!J34-'SEGMENTY I'!K34</f>
        <v>6360365.0099999979</v>
      </c>
      <c r="K34" s="205">
        <f>'SEGMENTY I'!K34-'SEGMENTY I'!L34</f>
        <v>16898725.950000003</v>
      </c>
      <c r="L34" s="79">
        <f>'SEGMENTY I'!L34</f>
        <v>5949873.9699999997</v>
      </c>
      <c r="M34" s="219">
        <f>'SEGMENTY I'!M34-'SEGMENTY I'!N34</f>
        <v>24482446.350000001</v>
      </c>
      <c r="N34" s="207">
        <f>'SEGMENTY I'!N34-'SEGMENTY I'!O34</f>
        <v>7219803.0399999991</v>
      </c>
      <c r="O34" s="205">
        <f>'SEGMENTY I'!O34-'SEGMENTY I'!P34</f>
        <v>7622579.3800000008</v>
      </c>
      <c r="P34" s="79">
        <v>4579654.01</v>
      </c>
      <c r="Q34" s="77">
        <f>'SEGMENTY I'!Q34-'SEGMENTY I'!R34</f>
        <v>21644114.790000007</v>
      </c>
      <c r="R34" s="78">
        <f>'SEGMENTY I'!R34-'SEGMENTY I'!S34</f>
        <v>10385750.949999996</v>
      </c>
      <c r="S34" s="77">
        <f>'SEGMENTY I'!S34-'SEGMENTY I'!T34</f>
        <v>1759979.3499999999</v>
      </c>
      <c r="T34" s="79">
        <v>1249686.26</v>
      </c>
      <c r="U34" s="77">
        <f>'SEGMENTY I'!U34-'SEGMENTY I'!V34</f>
        <v>16538864.210000001</v>
      </c>
      <c r="V34" s="78">
        <f>'SEGMENTY I'!V34-'SEGMENTY I'!W34</f>
        <v>2683497.6</v>
      </c>
      <c r="W34" s="77">
        <f>'SEGMENTY I'!W34-'SEGMENTY I'!X34</f>
        <v>1476550.6099999999</v>
      </c>
      <c r="X34" s="79">
        <v>1482749.54</v>
      </c>
      <c r="Y34" s="77">
        <f>'SEGMENTY I'!Y34-'SEGMENTY I'!Z34</f>
        <v>12321005.199999999</v>
      </c>
      <c r="Z34" s="78">
        <f>'SEGMENTY I'!Z34-'SEGMENTY I'!AA34</f>
        <v>3290000</v>
      </c>
      <c r="AA34" s="77">
        <f>'SEGMENTY I'!AA34-'SEGMENTY I'!AB34</f>
        <v>465000</v>
      </c>
      <c r="AB34" s="78">
        <v>368000</v>
      </c>
    </row>
    <row r="35" spans="1:28" ht="27.95" customHeight="1">
      <c r="A35" s="151" t="s">
        <v>109</v>
      </c>
      <c r="B35" s="81">
        <f>'SEGMENTY I'!B35-'SEGMENTY I'!C35</f>
        <v>1612903.8199999998</v>
      </c>
      <c r="C35" s="201">
        <f>'SEGMENTY I'!C35-'SEGMENTY I'!D35</f>
        <v>72540.010000000009</v>
      </c>
      <c r="D35" s="82">
        <f>'SEGMENTY I'!D35</f>
        <v>807589.28999999992</v>
      </c>
      <c r="E35" s="201">
        <f>'SEGMENTY I'!E35-'SEGMENTY I'!F35</f>
        <v>275838.20999999996</v>
      </c>
      <c r="F35" s="81">
        <f>'SEGMENTY I'!F35-'SEGMENTY I'!G35</f>
        <v>71413.489999999991</v>
      </c>
      <c r="G35" s="201">
        <f>'SEGMENTY I'!G35-'SEGMENTY I'!H35</f>
        <v>144043.53999999998</v>
      </c>
      <c r="H35" s="82">
        <f>'SEGMENTY I'!H35</f>
        <v>122884.7</v>
      </c>
      <c r="I35" s="201">
        <f>'SEGMENTY I'!I35-'SEGMENTY I'!J35</f>
        <v>41289.360000000044</v>
      </c>
      <c r="J35" s="81">
        <f>'SEGMENTY I'!J35-'SEGMENTY I'!K35</f>
        <v>1635.320000000007</v>
      </c>
      <c r="K35" s="201">
        <f>'SEGMENTY I'!K35-'SEGMENTY I'!L35</f>
        <v>-99905.210000000021</v>
      </c>
      <c r="L35" s="82">
        <f>'SEGMENTY I'!L35</f>
        <v>488547.37</v>
      </c>
      <c r="M35" s="219">
        <f>'SEGMENTY I'!M35-'SEGMENTY I'!N35</f>
        <v>687639.38</v>
      </c>
      <c r="N35" s="81">
        <f>'SEGMENTY I'!N35-'SEGMENTY I'!O35</f>
        <v>-825659.39</v>
      </c>
      <c r="O35" s="201">
        <f>'SEGMENTY I'!O35-'SEGMENTY I'!P35</f>
        <v>832107.16</v>
      </c>
      <c r="P35" s="82">
        <v>0</v>
      </c>
      <c r="Q35" s="80">
        <f>'SEGMENTY I'!Q35-'SEGMENTY I'!R35</f>
        <v>0</v>
      </c>
      <c r="R35" s="81">
        <f>'SEGMENTY I'!R35-'SEGMENTY I'!S35</f>
        <v>0</v>
      </c>
      <c r="S35" s="80">
        <f>'SEGMENTY I'!S35-'SEGMENTY I'!T35</f>
        <v>0</v>
      </c>
      <c r="T35" s="82">
        <v>0</v>
      </c>
      <c r="U35" s="80">
        <f>'SEGMENTY I'!U35-'SEGMENTY I'!V35</f>
        <v>0</v>
      </c>
      <c r="V35" s="81">
        <f>'SEGMENTY I'!V35-'SEGMENTY I'!W35</f>
        <v>0</v>
      </c>
      <c r="W35" s="80">
        <f>'SEGMENTY I'!W35-'SEGMENTY I'!X35</f>
        <v>0</v>
      </c>
      <c r="X35" s="82">
        <v>0</v>
      </c>
      <c r="Y35" s="80">
        <f>'SEGMENTY I'!Y35-'SEGMENTY I'!Z35</f>
        <v>0</v>
      </c>
      <c r="Z35" s="81">
        <f>'SEGMENTY I'!Z35-'SEGMENTY I'!AA35</f>
        <v>0</v>
      </c>
      <c r="AA35" s="80">
        <f>'SEGMENTY I'!AA35-'SEGMENTY I'!AB35</f>
        <v>0</v>
      </c>
      <c r="AB35" s="81">
        <v>0</v>
      </c>
    </row>
    <row r="36" spans="1:28" ht="27.95" customHeight="1">
      <c r="A36" s="152" t="s">
        <v>110</v>
      </c>
      <c r="B36" s="206">
        <f>'SEGMENTY I'!B36-'SEGMENTY I'!C36</f>
        <v>13653106.600000005</v>
      </c>
      <c r="C36" s="202">
        <f>SUM(C34:C35)</f>
        <v>2443088.129999999</v>
      </c>
      <c r="D36" s="85">
        <f>SUM(D34:D35)</f>
        <v>3328439.45</v>
      </c>
      <c r="E36" s="202">
        <f>E34+E35</f>
        <v>27860250.300000012</v>
      </c>
      <c r="F36" s="206">
        <f>SUM(F34:F35)</f>
        <v>3258113.4499999937</v>
      </c>
      <c r="G36" s="202">
        <f>G34+G35</f>
        <v>4079704.07</v>
      </c>
      <c r="H36" s="85">
        <f>SUM(H34:H35)</f>
        <v>3026188.93</v>
      </c>
      <c r="I36" s="202">
        <f>I34+I35</f>
        <v>30261706.830000006</v>
      </c>
      <c r="J36" s="206">
        <f>SUM(J34:J35)</f>
        <v>6362000.3299999982</v>
      </c>
      <c r="K36" s="202">
        <f>K34+K35</f>
        <v>16798820.740000002</v>
      </c>
      <c r="L36" s="85">
        <f>SUM(L34:L35)</f>
        <v>6438421.3399999999</v>
      </c>
      <c r="M36" s="220">
        <f>M34+M35</f>
        <v>25170085.73</v>
      </c>
      <c r="N36" s="206">
        <f>SUM(N34:N35)</f>
        <v>6394143.6499999994</v>
      </c>
      <c r="O36" s="202">
        <f>O34+O35</f>
        <v>8454686.540000001</v>
      </c>
      <c r="P36" s="85">
        <v>4579654.01</v>
      </c>
      <c r="Q36" s="80">
        <f>'SEGMENTY I'!Q36-'SEGMENTY I'!R36</f>
        <v>21644114.790000007</v>
      </c>
      <c r="R36" s="81">
        <f>'SEGMENTY I'!R36-'SEGMENTY I'!S36</f>
        <v>10385750.949999996</v>
      </c>
      <c r="S36" s="80">
        <f>'SEGMENTY I'!S36-'SEGMENTY I'!T36</f>
        <v>1759979.3499999999</v>
      </c>
      <c r="T36" s="85">
        <v>1249686.26</v>
      </c>
      <c r="U36" s="80">
        <f>'SEGMENTY I'!U36-'SEGMENTY I'!V36</f>
        <v>16538864.210000001</v>
      </c>
      <c r="V36" s="81">
        <f>'SEGMENTY I'!V36-'SEGMENTY I'!W36</f>
        <v>2683497.6</v>
      </c>
      <c r="W36" s="80">
        <f>'SEGMENTY I'!W36-'SEGMENTY I'!X36</f>
        <v>1476550.6099999999</v>
      </c>
      <c r="X36" s="85">
        <v>1482749.54</v>
      </c>
      <c r="Y36" s="80">
        <f>'SEGMENTY I'!Y36-'SEGMENTY I'!Z36</f>
        <v>12321005.199999999</v>
      </c>
      <c r="Z36" s="81">
        <f>'SEGMENTY I'!Z36-'SEGMENTY I'!AA36</f>
        <v>3290000</v>
      </c>
      <c r="AA36" s="80">
        <f>'SEGMENTY I'!AA36-'SEGMENTY I'!AB36</f>
        <v>465000</v>
      </c>
      <c r="AB36" s="84">
        <v>368000</v>
      </c>
    </row>
    <row r="37" spans="1:28" ht="27.95" customHeight="1">
      <c r="A37" s="151"/>
      <c r="B37" s="81"/>
      <c r="C37" s="201"/>
      <c r="D37" s="82"/>
      <c r="E37" s="201"/>
      <c r="F37" s="81"/>
      <c r="G37" s="201"/>
      <c r="H37" s="82"/>
      <c r="I37" s="201"/>
      <c r="J37" s="81"/>
      <c r="K37" s="201"/>
      <c r="L37" s="82"/>
      <c r="M37" s="221"/>
      <c r="N37" s="81"/>
      <c r="O37" s="201"/>
      <c r="P37" s="82"/>
      <c r="Q37" s="80"/>
      <c r="R37" s="81"/>
      <c r="S37" s="80"/>
      <c r="T37" s="82"/>
      <c r="U37" s="80"/>
      <c r="V37" s="81"/>
      <c r="W37" s="80"/>
      <c r="X37" s="82"/>
      <c r="Y37" s="80"/>
      <c r="Z37" s="81"/>
      <c r="AA37" s="80"/>
      <c r="AB37" s="81"/>
    </row>
    <row r="38" spans="1:28" ht="27.95" customHeight="1">
      <c r="A38" s="151" t="s">
        <v>111</v>
      </c>
      <c r="B38" s="81">
        <f>'SEGMENTY I'!B38-'SEGMENTY I'!C38</f>
        <v>10941062.84</v>
      </c>
      <c r="C38" s="201">
        <f>'SEGMENTY I'!C38-'SEGMENTY I'!D38</f>
        <v>3599981.88514568</v>
      </c>
      <c r="D38" s="82">
        <f>'SEGMENTY I'!D38</f>
        <v>4282640.8148543201</v>
      </c>
      <c r="E38" s="201">
        <f>'SEGMENTY I'!E38-'SEGMENTY I'!F38</f>
        <v>26759125.031005871</v>
      </c>
      <c r="F38" s="81">
        <f>'SEGMENTY I'!F38-'SEGMENTY I'!G38</f>
        <v>3805254.7474099435</v>
      </c>
      <c r="G38" s="201">
        <f>'SEGMENTY I'!G38-'SEGMENTY I'!H38</f>
        <v>5757526.2960253973</v>
      </c>
      <c r="H38" s="82">
        <f>'SEGMENTY I'!H38</f>
        <v>4222315.0726360064</v>
      </c>
      <c r="I38" s="201">
        <f>'SEGMENTY I'!I38-'SEGMENTY I'!J38</f>
        <v>27815983.209999997</v>
      </c>
      <c r="J38" s="81">
        <f>'SEGMENTY I'!J38-'SEGMENTY I'!K38</f>
        <v>8115893.2500000037</v>
      </c>
      <c r="K38" s="201">
        <f>'SEGMENTY I'!K38-'SEGMENTY I'!L38</f>
        <v>14408974.309999999</v>
      </c>
      <c r="L38" s="82">
        <f>'SEGMENTY I'!L38</f>
        <v>5756763.2300000004</v>
      </c>
      <c r="M38" s="219">
        <f>'SEGMENTY I'!M38-'SEGMENTY I'!N38</f>
        <v>20472315.409999996</v>
      </c>
      <c r="N38" s="81">
        <f>'SEGMENTY I'!N38-'SEGMENTY I'!O38</f>
        <v>7462853.2000000011</v>
      </c>
      <c r="O38" s="201">
        <f>'SEGMENTY I'!O38-'SEGMENTY I'!P38</f>
        <v>8188929.8299999991</v>
      </c>
      <c r="P38" s="82">
        <v>5565163.54</v>
      </c>
      <c r="Q38" s="80">
        <f>'SEGMENTY I'!Q38-'SEGMENTY I'!R38</f>
        <v>20185498.479999997</v>
      </c>
      <c r="R38" s="81">
        <f>'SEGMENTY I'!R38-'SEGMENTY I'!S38</f>
        <v>10049715.25</v>
      </c>
      <c r="S38" s="80">
        <f>'SEGMENTY I'!S38-'SEGMENTY I'!T38</f>
        <v>2020643.4099999997</v>
      </c>
      <c r="T38" s="82">
        <v>1875139.37</v>
      </c>
      <c r="U38" s="80">
        <f>'SEGMENTY I'!U38-'SEGMENTY I'!V38</f>
        <v>15563260.359254502</v>
      </c>
      <c r="V38" s="81">
        <f>'SEGMENTY I'!V38-'SEGMENTY I'!W38</f>
        <v>3901082.1400521388</v>
      </c>
      <c r="W38" s="80">
        <f>'SEGMENTY I'!W38-'SEGMENTY I'!X38</f>
        <v>2808228.3917556475</v>
      </c>
      <c r="X38" s="82">
        <v>1470771.6082443525</v>
      </c>
      <c r="Y38" s="80">
        <f>'SEGMENTY I'!Y38-'SEGMENTY I'!Z38</f>
        <v>9680731.1289747972</v>
      </c>
      <c r="Z38" s="81">
        <f>'SEGMENTY I'!Z38-'SEGMENTY I'!AA38</f>
        <v>2839000</v>
      </c>
      <c r="AA38" s="80">
        <f>'SEGMENTY I'!AA38-'SEGMENTY I'!AB38</f>
        <v>726000</v>
      </c>
      <c r="AB38" s="81">
        <v>643000</v>
      </c>
    </row>
    <row r="39" spans="1:28" ht="27.95" customHeight="1">
      <c r="A39" s="151" t="s">
        <v>112</v>
      </c>
      <c r="B39" s="81">
        <f>'SEGMENTY I'!B39-'SEGMENTY I'!C39</f>
        <v>1634442.1400000001</v>
      </c>
      <c r="C39" s="201">
        <f>'SEGMENTY I'!C39-'SEGMENTY I'!D39</f>
        <v>76481.699999999953</v>
      </c>
      <c r="D39" s="82">
        <f>'SEGMENTY I'!D39</f>
        <v>799466.45000000007</v>
      </c>
      <c r="E39" s="201">
        <f>'SEGMENTY I'!E39-'SEGMENTY I'!F39</f>
        <v>287411.99642690859</v>
      </c>
      <c r="F39" s="81">
        <f>'SEGMENTY I'!F39-'SEGMENTY I'!G39</f>
        <v>-81563.319999999949</v>
      </c>
      <c r="G39" s="201">
        <f>'SEGMENTY I'!G39-'SEGMENTY I'!H39</f>
        <v>105395.76</v>
      </c>
      <c r="H39" s="82">
        <f>'SEGMENTY I'!H39</f>
        <v>100030.59999999999</v>
      </c>
      <c r="I39" s="201">
        <f>'SEGMENTY I'!I39-'SEGMENTY I'!J39</f>
        <v>63502.570000000007</v>
      </c>
      <c r="J39" s="81">
        <f>'SEGMENTY I'!J39-'SEGMENTY I'!K39</f>
        <v>-248175.36000000002</v>
      </c>
      <c r="K39" s="201">
        <f>'SEGMENTY I'!K39-'SEGMENTY I'!L39</f>
        <v>-86410.77999999997</v>
      </c>
      <c r="L39" s="82">
        <f>'SEGMENTY I'!L39</f>
        <v>478195.61</v>
      </c>
      <c r="M39" s="219">
        <f>'SEGMENTY I'!M39-'SEGMENTY I'!N39</f>
        <v>564670.13</v>
      </c>
      <c r="N39" s="81">
        <f>'SEGMENTY I'!N39-'SEGMENTY I'!O39</f>
        <v>-823352.21</v>
      </c>
      <c r="O39" s="201">
        <f>'SEGMENTY I'!O39-'SEGMENTY I'!P39</f>
        <v>857534.1</v>
      </c>
      <c r="P39" s="82">
        <v>0</v>
      </c>
      <c r="Q39" s="80">
        <f>'SEGMENTY I'!Q39-'SEGMENTY I'!R39</f>
        <v>0</v>
      </c>
      <c r="R39" s="81">
        <f>'SEGMENTY I'!R39-'SEGMENTY I'!S39</f>
        <v>0</v>
      </c>
      <c r="S39" s="80">
        <f>'SEGMENTY I'!S39-'SEGMENTY I'!T39</f>
        <v>0</v>
      </c>
      <c r="T39" s="82">
        <v>0</v>
      </c>
      <c r="U39" s="80">
        <f>'SEGMENTY I'!U39-'SEGMENTY I'!V39</f>
        <v>0</v>
      </c>
      <c r="V39" s="81">
        <f>'SEGMENTY I'!V39-'SEGMENTY I'!W39</f>
        <v>0</v>
      </c>
      <c r="W39" s="80">
        <f>'SEGMENTY I'!W39-'SEGMENTY I'!X39</f>
        <v>0</v>
      </c>
      <c r="X39" s="82">
        <v>0</v>
      </c>
      <c r="Y39" s="80">
        <f>'SEGMENTY I'!Y39-'SEGMENTY I'!Z39</f>
        <v>0</v>
      </c>
      <c r="Z39" s="81">
        <f>'SEGMENTY I'!Z39-'SEGMENTY I'!AA39</f>
        <v>0</v>
      </c>
      <c r="AA39" s="80">
        <f>'SEGMENTY I'!AA39-'SEGMENTY I'!AB39</f>
        <v>0</v>
      </c>
      <c r="AB39" s="81">
        <v>0</v>
      </c>
    </row>
    <row r="40" spans="1:28" ht="27.95" customHeight="1">
      <c r="A40" s="152" t="s">
        <v>113</v>
      </c>
      <c r="B40" s="206">
        <f>'SEGMENTY I'!B40-'SEGMENTY I'!C40</f>
        <v>12575504.979999999</v>
      </c>
      <c r="C40" s="202">
        <f>SUM(C38:C39)</f>
        <v>3676463.5851456802</v>
      </c>
      <c r="D40" s="85">
        <f>SUM(D38:D39)</f>
        <v>5082107.2648543203</v>
      </c>
      <c r="E40" s="202">
        <f>E38+E39</f>
        <v>27046537.027432781</v>
      </c>
      <c r="F40" s="206">
        <f>SUM(F38:F39)</f>
        <v>3723691.4274099437</v>
      </c>
      <c r="G40" s="202">
        <f>G38+G39</f>
        <v>5862922.056025397</v>
      </c>
      <c r="H40" s="85">
        <f>SUM(H38:H39)</f>
        <v>4322345.672636006</v>
      </c>
      <c r="I40" s="202">
        <f>I38+I39</f>
        <v>27879485.779999997</v>
      </c>
      <c r="J40" s="206">
        <f>SUM(J38:J39)</f>
        <v>7867717.8900000034</v>
      </c>
      <c r="K40" s="202">
        <f>K38+K39</f>
        <v>14322563.529999999</v>
      </c>
      <c r="L40" s="85">
        <f>SUM(L38:L39)</f>
        <v>6234958.8400000008</v>
      </c>
      <c r="M40" s="220">
        <f>M38+M39</f>
        <v>21036985.539999995</v>
      </c>
      <c r="N40" s="206">
        <f>SUM(N38:N39)</f>
        <v>6639500.9900000012</v>
      </c>
      <c r="O40" s="202">
        <f>O38+O39</f>
        <v>9046463.9299999997</v>
      </c>
      <c r="P40" s="85">
        <v>5565163.54</v>
      </c>
      <c r="Q40" s="80">
        <f>'SEGMENTY I'!Q40-'SEGMENTY I'!R40</f>
        <v>20185498.479999997</v>
      </c>
      <c r="R40" s="81">
        <f>'SEGMENTY I'!R40-'SEGMENTY I'!S40</f>
        <v>10049715.25</v>
      </c>
      <c r="S40" s="80">
        <f>'SEGMENTY I'!S40-'SEGMENTY I'!T40</f>
        <v>2020643.4099999997</v>
      </c>
      <c r="T40" s="85">
        <v>1875139.37</v>
      </c>
      <c r="U40" s="80">
        <f>'SEGMENTY I'!U40-'SEGMENTY I'!V40</f>
        <v>15563260.359254502</v>
      </c>
      <c r="V40" s="81">
        <f>'SEGMENTY I'!V40-'SEGMENTY I'!W40</f>
        <v>3901082.1400521388</v>
      </c>
      <c r="W40" s="80">
        <f>'SEGMENTY I'!W40-'SEGMENTY I'!X40</f>
        <v>2808228.3917556475</v>
      </c>
      <c r="X40" s="85">
        <v>1470771.6082443525</v>
      </c>
      <c r="Y40" s="80">
        <f>'SEGMENTY I'!Y40-'SEGMENTY I'!Z40</f>
        <v>9680731.1289747972</v>
      </c>
      <c r="Z40" s="81">
        <f>'SEGMENTY I'!Z40-'SEGMENTY I'!AA40</f>
        <v>2839000</v>
      </c>
      <c r="AA40" s="80">
        <f>'SEGMENTY I'!AA40-'SEGMENTY I'!AB40</f>
        <v>726000</v>
      </c>
      <c r="AB40" s="84">
        <v>643000</v>
      </c>
    </row>
    <row r="41" spans="1:28" ht="27.95" customHeight="1">
      <c r="A41" s="151"/>
      <c r="B41" s="81"/>
      <c r="C41" s="201"/>
      <c r="D41" s="82"/>
      <c r="E41" s="201"/>
      <c r="F41" s="81"/>
      <c r="G41" s="201"/>
      <c r="H41" s="82"/>
      <c r="I41" s="201"/>
      <c r="J41" s="81"/>
      <c r="K41" s="201"/>
      <c r="L41" s="82"/>
      <c r="M41" s="219"/>
      <c r="N41" s="81"/>
      <c r="O41" s="201"/>
      <c r="P41" s="82"/>
      <c r="Q41" s="80"/>
      <c r="R41" s="81"/>
      <c r="S41" s="80"/>
      <c r="T41" s="82"/>
      <c r="U41" s="80"/>
      <c r="V41" s="81"/>
      <c r="W41" s="80"/>
      <c r="X41" s="82"/>
      <c r="Y41" s="80"/>
      <c r="Z41" s="81"/>
      <c r="AA41" s="80"/>
      <c r="AB41" s="81"/>
    </row>
    <row r="42" spans="1:28" ht="27.95" customHeight="1">
      <c r="A42" s="152" t="s">
        <v>114</v>
      </c>
      <c r="B42" s="206">
        <f>'SEGMENTY I'!B42-'SEGMENTY I'!C42</f>
        <v>1077601.6200000057</v>
      </c>
      <c r="C42" s="202">
        <f t="shared" ref="C42:D42" si="14">C36-C40</f>
        <v>-1233375.4551456813</v>
      </c>
      <c r="D42" s="85">
        <f t="shared" si="14"/>
        <v>-1753667.8148543201</v>
      </c>
      <c r="E42" s="202">
        <f t="shared" ref="E42" si="15">E36-E40</f>
        <v>813713.27256723121</v>
      </c>
      <c r="F42" s="206">
        <f t="shared" ref="F42" si="16">F36-F40</f>
        <v>-465577.97740994999</v>
      </c>
      <c r="G42" s="202">
        <f t="shared" ref="G42" si="17">G36-G40</f>
        <v>-1783217.9860253972</v>
      </c>
      <c r="H42" s="85">
        <f t="shared" ref="H42" si="18">H36-H40</f>
        <v>-1296156.7426360059</v>
      </c>
      <c r="I42" s="202">
        <f t="shared" ref="I42" si="19">I36-I40</f>
        <v>2382221.0500000082</v>
      </c>
      <c r="J42" s="206">
        <f t="shared" ref="J42:O42" si="20">J36-J40</f>
        <v>-1505717.5600000052</v>
      </c>
      <c r="K42" s="202">
        <f t="shared" si="20"/>
        <v>2476257.2100000028</v>
      </c>
      <c r="L42" s="85">
        <f t="shared" si="20"/>
        <v>203462.49999999907</v>
      </c>
      <c r="M42" s="220">
        <f t="shared" si="20"/>
        <v>4133100.1900000051</v>
      </c>
      <c r="N42" s="206">
        <f t="shared" si="20"/>
        <v>-245357.34000000171</v>
      </c>
      <c r="O42" s="202">
        <f t="shared" si="20"/>
        <v>-591777.38999999873</v>
      </c>
      <c r="P42" s="85">
        <v>-985509.53</v>
      </c>
      <c r="Q42" s="80">
        <f>'SEGMENTY I'!Q42-'SEGMENTY I'!R42</f>
        <v>1458616.31</v>
      </c>
      <c r="R42" s="81">
        <f>'SEGMENTY I'!R42-'SEGMENTY I'!S42</f>
        <v>336035.70000000007</v>
      </c>
      <c r="S42" s="80">
        <f>'SEGMENTY I'!S42-'SEGMENTY I'!T42</f>
        <v>-260664.06000000006</v>
      </c>
      <c r="T42" s="85">
        <v>-625453.11</v>
      </c>
      <c r="U42" s="80">
        <f>'SEGMENTY I'!U42-'SEGMENTY I'!V42</f>
        <v>975603.8507454982</v>
      </c>
      <c r="V42" s="81">
        <f>'SEGMENTY I'!V42-'SEGMENTY I'!W42</f>
        <v>-1217584.5400521387</v>
      </c>
      <c r="W42" s="80">
        <f>'SEGMENTY I'!W42-'SEGMENTY I'!X42</f>
        <v>-1331677.7817556476</v>
      </c>
      <c r="X42" s="85">
        <v>11977.931755647529</v>
      </c>
      <c r="Y42" s="80">
        <f>'SEGMENTY I'!Y42-'SEGMENTY I'!Z42</f>
        <v>2640274.0710252021</v>
      </c>
      <c r="Z42" s="81">
        <f>'SEGMENTY I'!Z42-'SEGMENTY I'!AA42</f>
        <v>451000</v>
      </c>
      <c r="AA42" s="80">
        <f>'SEGMENTY I'!AA42-'SEGMENTY I'!AB42</f>
        <v>-261000</v>
      </c>
      <c r="AB42" s="84">
        <v>-275000</v>
      </c>
    </row>
    <row r="43" spans="1:28" ht="27.95" customHeight="1"/>
    <row r="44" spans="1:28" ht="27.95" customHeight="1"/>
    <row r="45" spans="1:28" ht="27.95" customHeight="1">
      <c r="A45" s="343" t="s">
        <v>155</v>
      </c>
      <c r="B45" s="464" t="s">
        <v>147</v>
      </c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</row>
    <row r="46" spans="1:28" ht="27.95" customHeight="1">
      <c r="A46" s="7"/>
      <c r="B46" s="86"/>
      <c r="C46" s="7"/>
      <c r="D46" s="7"/>
      <c r="E46" s="7"/>
      <c r="F46" s="7"/>
      <c r="G46" s="217"/>
      <c r="H46" s="7"/>
      <c r="I46" s="200"/>
      <c r="J46" s="7"/>
      <c r="K46" s="154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8" ht="27.95" customHeight="1">
      <c r="A47" s="149"/>
      <c r="B47" s="74" t="s">
        <v>216</v>
      </c>
      <c r="C47" s="204" t="s">
        <v>213</v>
      </c>
      <c r="D47" s="203" t="s">
        <v>211</v>
      </c>
      <c r="E47" s="204" t="s">
        <v>209</v>
      </c>
      <c r="F47" s="74" t="s">
        <v>208</v>
      </c>
      <c r="G47" s="204" t="s">
        <v>202</v>
      </c>
      <c r="H47" s="203" t="s">
        <v>199</v>
      </c>
      <c r="I47" s="204" t="s">
        <v>198</v>
      </c>
      <c r="J47" s="74" t="s">
        <v>197</v>
      </c>
      <c r="K47" s="204" t="s">
        <v>194</v>
      </c>
      <c r="L47" s="203" t="s">
        <v>191</v>
      </c>
      <c r="M47" s="218" t="s">
        <v>190</v>
      </c>
      <c r="N47" s="74" t="s">
        <v>188</v>
      </c>
      <c r="O47" s="204" t="s">
        <v>185</v>
      </c>
      <c r="P47" s="203" t="s">
        <v>163</v>
      </c>
      <c r="Q47" s="73" t="s">
        <v>118</v>
      </c>
      <c r="R47" s="74" t="s">
        <v>25</v>
      </c>
      <c r="S47" s="73" t="s">
        <v>26</v>
      </c>
      <c r="T47" s="76" t="s">
        <v>16</v>
      </c>
      <c r="U47" s="73" t="s">
        <v>27</v>
      </c>
      <c r="V47" s="74" t="s">
        <v>28</v>
      </c>
      <c r="W47" s="73" t="s">
        <v>29</v>
      </c>
      <c r="X47" s="76" t="s">
        <v>20</v>
      </c>
      <c r="Y47" s="73" t="s">
        <v>30</v>
      </c>
      <c r="Z47" s="74" t="s">
        <v>31</v>
      </c>
      <c r="AA47" s="73" t="s">
        <v>32</v>
      </c>
      <c r="AB47" s="74" t="s">
        <v>24</v>
      </c>
    </row>
    <row r="48" spans="1:28" ht="27.95" customHeight="1">
      <c r="A48" s="150" t="s">
        <v>115</v>
      </c>
      <c r="B48" s="207">
        <f>'SEGMENTY I'!B48-'SEGMENTY I'!C48</f>
        <v>726732.52000000142</v>
      </c>
      <c r="C48" s="205">
        <f>'SEGMENTY I'!C48-'SEGMENTY I'!D48</f>
        <v>4604859.3199999984</v>
      </c>
      <c r="D48" s="79">
        <f>'SEGMENTY I'!D48</f>
        <v>2485821.8000000007</v>
      </c>
      <c r="E48" s="205">
        <f>'SEGMENTY I'!E48-'SEGMENTY I'!F48</f>
        <v>1599987.540000001</v>
      </c>
      <c r="F48" s="207">
        <f>'SEGMENTY I'!F48-'SEGMENTY I'!G48</f>
        <v>3575382.0500000026</v>
      </c>
      <c r="G48" s="205">
        <f>'SEGMENTY I'!G48-'SEGMENTY I'!H48</f>
        <v>3106683.2999999993</v>
      </c>
      <c r="H48" s="79">
        <f>'SEGMENTY I'!H48</f>
        <v>2363586.0300000007</v>
      </c>
      <c r="I48" s="205">
        <f>'SEGMENTY I'!I48-'SEGMENTY I'!J48</f>
        <v>3166228.0200000014</v>
      </c>
      <c r="J48" s="207">
        <f>'SEGMENTY I'!J48-'SEGMENTY I'!K48</f>
        <v>2027028.42</v>
      </c>
      <c r="K48" s="205">
        <f>'SEGMENTY I'!K48-'SEGMENTY I'!L48</f>
        <v>2570478.7800000003</v>
      </c>
      <c r="L48" s="79">
        <f>'SEGMENTY I'!L48</f>
        <v>2912570.63</v>
      </c>
      <c r="M48" s="219">
        <f>'SEGMENTY I'!M48-'SEGMENTY I'!N48</f>
        <v>5212391.03</v>
      </c>
      <c r="N48" s="207">
        <f>'SEGMENTY I'!N48-'SEGMENTY I'!O48</f>
        <v>1883031.3099999996</v>
      </c>
      <c r="O48" s="205">
        <f>'SEGMENTY I'!O48-'SEGMENTY I'!P48</f>
        <v>2557946.1200000006</v>
      </c>
      <c r="P48" s="198">
        <v>3132816.28</v>
      </c>
      <c r="Q48" s="77">
        <f>'SEGMENTY I'!Q48-'SEGMENTY I'!R48</f>
        <v>1503021.9499999993</v>
      </c>
      <c r="R48" s="78">
        <f>'SEGMENTY I'!R48-'SEGMENTY I'!S48</f>
        <v>3193145.1800000034</v>
      </c>
      <c r="S48" s="77">
        <f>'SEGMENTY I'!S48-'SEGMENTY I'!T48</f>
        <v>3582094.7799999979</v>
      </c>
      <c r="T48" s="79">
        <v>3675247.14</v>
      </c>
      <c r="U48" s="77">
        <f>'SEGMENTY I'!U48-'SEGMENTY I'!V48</f>
        <v>4627415.93</v>
      </c>
      <c r="V48" s="78">
        <f>'SEGMENTY I'!V48-'SEGMENTY I'!W48</f>
        <v>4811445.7500000019</v>
      </c>
      <c r="W48" s="77">
        <f>'SEGMENTY I'!W48-'SEGMENTY I'!X48</f>
        <v>5317312.709999999</v>
      </c>
      <c r="X48" s="79">
        <v>4682279.0500000007</v>
      </c>
      <c r="Y48" s="77">
        <f>'SEGMENTY I'!Y48-'SEGMENTY I'!Z48</f>
        <v>8754076.9300000034</v>
      </c>
      <c r="Z48" s="78">
        <f>'SEGMENTY I'!Z48-'SEGMENTY I'!AA48</f>
        <v>4238000</v>
      </c>
      <c r="AA48" s="77">
        <f>'SEGMENTY I'!AA48-'SEGMENTY I'!AB48</f>
        <v>4720000</v>
      </c>
      <c r="AB48" s="78">
        <v>4139000</v>
      </c>
    </row>
    <row r="49" spans="1:28" ht="27.95" customHeight="1">
      <c r="A49" s="151" t="s">
        <v>109</v>
      </c>
      <c r="B49" s="81">
        <f>'SEGMENTY I'!B49-'SEGMENTY I'!C49</f>
        <v>5243997.6900000013</v>
      </c>
      <c r="C49" s="201">
        <f>'SEGMENTY I'!C49-'SEGMENTY I'!D49</f>
        <v>5809950.9100000001</v>
      </c>
      <c r="D49" s="82">
        <f>'SEGMENTY I'!D49</f>
        <v>7088714.8399999999</v>
      </c>
      <c r="E49" s="201">
        <f>'SEGMENTY I'!E49-'SEGMENTY I'!F49</f>
        <v>6841129.209999999</v>
      </c>
      <c r="F49" s="81">
        <f>'SEGMENTY I'!F49-'SEGMENTY I'!G49</f>
        <v>4970716.7800000012</v>
      </c>
      <c r="G49" s="201">
        <f>'SEGMENTY I'!G49-'SEGMENTY I'!H49</f>
        <v>4762683.3099999977</v>
      </c>
      <c r="H49" s="82">
        <f>'SEGMENTY I'!H49</f>
        <v>4626092.4700000016</v>
      </c>
      <c r="I49" s="201">
        <f>'SEGMENTY I'!I49-'SEGMENTY I'!J49</f>
        <v>4988188.4399999976</v>
      </c>
      <c r="J49" s="81">
        <f>'SEGMENTY I'!J49-'SEGMENTY I'!K49</f>
        <v>3603580.49</v>
      </c>
      <c r="K49" s="201">
        <f>'SEGMENTY I'!K49-'SEGMENTY I'!L49</f>
        <v>3800853.9299999997</v>
      </c>
      <c r="L49" s="82">
        <f>'SEGMENTY I'!L49</f>
        <v>3684722.17</v>
      </c>
      <c r="M49" s="219">
        <f>'SEGMENTY I'!M49-'SEGMENTY I'!N49</f>
        <v>577902.12999999896</v>
      </c>
      <c r="N49" s="81">
        <f>'SEGMENTY I'!N49-'SEGMENTY I'!O49</f>
        <v>5926338.54</v>
      </c>
      <c r="O49" s="201">
        <f>'SEGMENTY I'!O49-'SEGMENTY I'!P49</f>
        <v>1870000.4900000002</v>
      </c>
      <c r="P49" s="199">
        <v>3889181.71</v>
      </c>
      <c r="Q49" s="80">
        <f>'SEGMENTY I'!Q49-'SEGMENTY I'!R49</f>
        <v>3509099.25</v>
      </c>
      <c r="R49" s="81">
        <f>'SEGMENTY I'!R49-'SEGMENTY I'!S49</f>
        <v>2505482.7799999993</v>
      </c>
      <c r="S49" s="80">
        <f>'SEGMENTY I'!S49-'SEGMENTY I'!T49</f>
        <v>2438221.4200000009</v>
      </c>
      <c r="T49" s="82">
        <v>2379861.4699999997</v>
      </c>
      <c r="U49" s="80">
        <f>'SEGMENTY I'!U49-'SEGMENTY I'!V49</f>
        <v>1428534.4599999986</v>
      </c>
      <c r="V49" s="81">
        <f>'SEGMENTY I'!V49-'SEGMENTY I'!W49</f>
        <v>138460.16999999946</v>
      </c>
      <c r="W49" s="80">
        <f>'SEGMENTY I'!W49-'SEGMENTY I'!X49</f>
        <v>1928640.2300000004</v>
      </c>
      <c r="X49" s="82">
        <v>2056945.71</v>
      </c>
      <c r="Y49" s="80">
        <f>'SEGMENTY I'!Y49-'SEGMENTY I'!Z49</f>
        <v>-582277.34999999963</v>
      </c>
      <c r="Z49" s="81">
        <f>'SEGMENTY I'!Z49-'SEGMENTY I'!AA49</f>
        <v>4162000</v>
      </c>
      <c r="AA49" s="80">
        <f>'SEGMENTY I'!AA49-'SEGMENTY I'!AB49</f>
        <v>1109000</v>
      </c>
      <c r="AB49" s="81">
        <v>2828000</v>
      </c>
    </row>
    <row r="50" spans="1:28" ht="27.95" customHeight="1">
      <c r="A50" s="152" t="s">
        <v>110</v>
      </c>
      <c r="B50" s="206">
        <f>'SEGMENTY I'!B50-'SEGMENTY I'!C50</f>
        <v>5970730.2100000046</v>
      </c>
      <c r="C50" s="202">
        <f>SUM(C48:C49)</f>
        <v>10414810.229999999</v>
      </c>
      <c r="D50" s="85">
        <f>SUM(D48:D49)</f>
        <v>9574536.6400000006</v>
      </c>
      <c r="E50" s="202">
        <f>E48+E49</f>
        <v>8441116.75</v>
      </c>
      <c r="F50" s="206">
        <f>SUM(F48:F49)</f>
        <v>8546098.8300000038</v>
      </c>
      <c r="G50" s="202">
        <f>G48+G49</f>
        <v>7869366.6099999975</v>
      </c>
      <c r="H50" s="85">
        <f>SUM(H48:H49)</f>
        <v>6989678.5000000019</v>
      </c>
      <c r="I50" s="202">
        <f>I48+I49</f>
        <v>8154416.459999999</v>
      </c>
      <c r="J50" s="206">
        <f>SUM(J48:J49)</f>
        <v>5630608.9100000001</v>
      </c>
      <c r="K50" s="202">
        <f>K48+K49</f>
        <v>6371332.71</v>
      </c>
      <c r="L50" s="85">
        <f>SUM(L48:L49)</f>
        <v>6597292.7999999998</v>
      </c>
      <c r="M50" s="220">
        <f>M48+M49</f>
        <v>5790293.1599999992</v>
      </c>
      <c r="N50" s="206">
        <f>SUM(N48:N49)</f>
        <v>7809369.8499999996</v>
      </c>
      <c r="O50" s="202">
        <f>O48+O49</f>
        <v>4427946.6100000013</v>
      </c>
      <c r="P50" s="85">
        <v>7021997.9900000002</v>
      </c>
      <c r="Q50" s="80">
        <f>'SEGMENTY I'!Q50-'SEGMENTY I'!R50</f>
        <v>5012121.1999999955</v>
      </c>
      <c r="R50" s="81">
        <f>'SEGMENTY I'!R50-'SEGMENTY I'!S50</f>
        <v>5698627.9600000046</v>
      </c>
      <c r="S50" s="80">
        <f>'SEGMENTY I'!S50-'SEGMENTY I'!T50</f>
        <v>6020316.1999999993</v>
      </c>
      <c r="T50" s="85">
        <v>6055108.6099999994</v>
      </c>
      <c r="U50" s="80">
        <f>'SEGMENTY I'!U50-'SEGMENTY I'!V50</f>
        <v>6055950.3899999969</v>
      </c>
      <c r="V50" s="81">
        <f>'SEGMENTY I'!V50-'SEGMENTY I'!W50</f>
        <v>4949905.9200000018</v>
      </c>
      <c r="W50" s="80">
        <f>'SEGMENTY I'!W50-'SEGMENTY I'!X50</f>
        <v>7245952.9399999985</v>
      </c>
      <c r="X50" s="85">
        <v>6739224.7600000007</v>
      </c>
      <c r="Y50" s="80">
        <f>'SEGMENTY I'!Y50-'SEGMENTY I'!Z50</f>
        <v>8171799.5800000057</v>
      </c>
      <c r="Z50" s="81">
        <f>'SEGMENTY I'!Z50-'SEGMENTY I'!AA50</f>
        <v>8400000</v>
      </c>
      <c r="AA50" s="80">
        <f>'SEGMENTY I'!AA50-'SEGMENTY I'!AB50</f>
        <v>5829000</v>
      </c>
      <c r="AB50" s="84">
        <v>6967000</v>
      </c>
    </row>
    <row r="51" spans="1:28" ht="27.95" customHeight="1">
      <c r="A51" s="151"/>
      <c r="B51" s="81"/>
      <c r="C51" s="201"/>
      <c r="D51" s="82"/>
      <c r="E51" s="201"/>
      <c r="F51" s="81"/>
      <c r="G51" s="201"/>
      <c r="H51" s="82"/>
      <c r="I51" s="201"/>
      <c r="J51" s="81"/>
      <c r="K51" s="201"/>
      <c r="L51" s="82"/>
      <c r="M51" s="221"/>
      <c r="N51" s="81"/>
      <c r="O51" s="201"/>
      <c r="P51" s="85"/>
      <c r="Q51" s="80"/>
      <c r="R51" s="81"/>
      <c r="S51" s="80"/>
      <c r="T51" s="82"/>
      <c r="U51" s="80"/>
      <c r="V51" s="81"/>
      <c r="W51" s="80"/>
      <c r="X51" s="82"/>
      <c r="Y51" s="80"/>
      <c r="Z51" s="81"/>
      <c r="AA51" s="80"/>
      <c r="AB51" s="81"/>
    </row>
    <row r="52" spans="1:28" ht="27.95" customHeight="1">
      <c r="A52" s="151" t="s">
        <v>111</v>
      </c>
      <c r="B52" s="81">
        <f>'SEGMENTY I'!B52-'SEGMENTY I'!C52</f>
        <v>1926102.120000001</v>
      </c>
      <c r="C52" s="201">
        <f>'SEGMENTY I'!C52-'SEGMENTY I'!D52</f>
        <v>5163140.2800144935</v>
      </c>
      <c r="D52" s="82">
        <f>'SEGMENTY I'!D52</f>
        <v>2325201.6499855062</v>
      </c>
      <c r="E52" s="201">
        <f>'SEGMENTY I'!E52-'SEGMENTY I'!F52</f>
        <v>-215375.55072769243</v>
      </c>
      <c r="F52" s="81">
        <f>'SEGMENTY I'!F52-'SEGMENTY I'!G52</f>
        <v>2831285.5099723646</v>
      </c>
      <c r="G52" s="201">
        <f>'SEGMENTY I'!G52-'SEGMENTY I'!H52</f>
        <v>2472752.6121369442</v>
      </c>
      <c r="H52" s="82">
        <f>'SEGMENTY I'!H52</f>
        <v>2065631.1665075058</v>
      </c>
      <c r="I52" s="201">
        <f>'SEGMENTY I'!I52-'SEGMENTY I'!J52</f>
        <v>428822.01370550971</v>
      </c>
      <c r="J52" s="81">
        <f>'SEGMENTY I'!J52-'SEGMENTY I'!K52</f>
        <v>1813813.0300000003</v>
      </c>
      <c r="K52" s="201">
        <f>'SEGMENTY I'!K52-'SEGMENTY I'!L52</f>
        <v>1958299.5699999998</v>
      </c>
      <c r="L52" s="82">
        <f>'SEGMENTY I'!L52</f>
        <v>2366933.69</v>
      </c>
      <c r="M52" s="219">
        <f>'SEGMENTY I'!M52-'SEGMENTY I'!N52</f>
        <v>4493790.8</v>
      </c>
      <c r="N52" s="81">
        <f>'SEGMENTY I'!N52-'SEGMENTY I'!O52</f>
        <v>574202.13999999966</v>
      </c>
      <c r="O52" s="201">
        <f>'SEGMENTY I'!O52-'SEGMENTY I'!P52</f>
        <v>1513087.6600000001</v>
      </c>
      <c r="P52" s="85">
        <v>2450498.17</v>
      </c>
      <c r="Q52" s="80">
        <f>'SEGMENTY I'!Q52-'SEGMENTY I'!R52</f>
        <v>-483855.59445469733</v>
      </c>
      <c r="R52" s="81">
        <f>'SEGMENTY I'!R52-'SEGMENTY I'!S52</f>
        <v>2367368.8973069452</v>
      </c>
      <c r="S52" s="80">
        <f>'SEGMENTY I'!S52-'SEGMENTY I'!T52</f>
        <v>2402171.4674212029</v>
      </c>
      <c r="T52" s="82">
        <v>3025340.5297265491</v>
      </c>
      <c r="U52" s="80">
        <f>'SEGMENTY I'!U52-'SEGMENTY I'!V52</f>
        <v>3907933.1089588739</v>
      </c>
      <c r="V52" s="81">
        <f>'SEGMENTY I'!V52-'SEGMENTY I'!W52</f>
        <v>4993869.7542113848</v>
      </c>
      <c r="W52" s="80">
        <f>'SEGMENTY I'!W52-'SEGMENTY I'!X52</f>
        <v>3298295.758155819</v>
      </c>
      <c r="X52" s="82">
        <v>3385391.928673923</v>
      </c>
      <c r="Y52" s="80">
        <f>'SEGMENTY I'!Y52-'SEGMENTY I'!Z52</f>
        <v>3912349.2420949899</v>
      </c>
      <c r="Z52" s="81">
        <f>'SEGMENTY I'!Z52-'SEGMENTY I'!AA52</f>
        <v>4582000</v>
      </c>
      <c r="AA52" s="80">
        <f>'SEGMENTY I'!AA52-'SEGMENTY I'!AB52</f>
        <v>5061000</v>
      </c>
      <c r="AB52" s="81">
        <v>5195000</v>
      </c>
    </row>
    <row r="53" spans="1:28" ht="27.95" customHeight="1">
      <c r="A53" s="151" t="s">
        <v>112</v>
      </c>
      <c r="B53" s="81">
        <f>'SEGMENTY I'!B53-'SEGMENTY I'!C53</f>
        <v>5431588.3300000019</v>
      </c>
      <c r="C53" s="201">
        <f>'SEGMENTY I'!C53-'SEGMENTY I'!D53</f>
        <v>5819973.6100000003</v>
      </c>
      <c r="D53" s="82">
        <f>'SEGMENTY I'!D53</f>
        <v>7017415.6200000001</v>
      </c>
      <c r="E53" s="201">
        <f>'SEGMENTY I'!E53-'SEGMENTY I'!F53</f>
        <v>8302049.0396631435</v>
      </c>
      <c r="F53" s="81">
        <f>'SEGMENTY I'!F53-'SEGMENTY I'!G53</f>
        <v>5326959.6700000018</v>
      </c>
      <c r="G53" s="201">
        <f>'SEGMENTY I'!G53-'SEGMENTY I'!H53</f>
        <v>5466744.5999999978</v>
      </c>
      <c r="H53" s="82">
        <f>'SEGMENTY I'!H53</f>
        <v>4769143.2100000009</v>
      </c>
      <c r="I53" s="201">
        <f>'SEGMENTY I'!I53-'SEGMENTY I'!J53</f>
        <v>6952132.2320377082</v>
      </c>
      <c r="J53" s="81">
        <f>'SEGMENTY I'!J53-'SEGMENTY I'!K53</f>
        <v>3332845.5379622905</v>
      </c>
      <c r="K53" s="201">
        <f>'SEGMENTY I'!K53-'SEGMENTY I'!L53</f>
        <v>3875400.81</v>
      </c>
      <c r="L53" s="82">
        <f>'SEGMENTY I'!L53</f>
        <v>3670705.89</v>
      </c>
      <c r="M53" s="219">
        <f>'SEGMENTY I'!M53-'SEGMENTY I'!N53</f>
        <v>1776546.5600000005</v>
      </c>
      <c r="N53" s="81">
        <f>'SEGMENTY I'!N53-'SEGMENTY I'!O53</f>
        <v>5931494.9999999991</v>
      </c>
      <c r="O53" s="201">
        <f>'SEGMENTY I'!O53-'SEGMENTY I'!P53</f>
        <v>1869188.8100000005</v>
      </c>
      <c r="P53" s="85">
        <v>3912329.55</v>
      </c>
      <c r="Q53" s="80">
        <f>'SEGMENTY I'!Q53-'SEGMENTY I'!R53</f>
        <v>3482343.1436871355</v>
      </c>
      <c r="R53" s="81">
        <f>'SEGMENTY I'!R53-'SEGMENTY I'!S53</f>
        <v>2506584.4963128632</v>
      </c>
      <c r="S53" s="80">
        <f>'SEGMENTY I'!S53-'SEGMENTY I'!T53</f>
        <v>2486103.2000000011</v>
      </c>
      <c r="T53" s="82">
        <v>2329191.5099999998</v>
      </c>
      <c r="U53" s="80">
        <f>'SEGMENTY I'!U53-'SEGMENTY I'!V53</f>
        <v>1457470.4500000002</v>
      </c>
      <c r="V53" s="81">
        <f>'SEGMENTY I'!V53-'SEGMENTY I'!W53</f>
        <v>190773.90999999922</v>
      </c>
      <c r="W53" s="80">
        <f>'SEGMENTY I'!W53-'SEGMENTY I'!X53</f>
        <v>2059443.3100000005</v>
      </c>
      <c r="X53" s="82">
        <v>1933587.04</v>
      </c>
      <c r="Y53" s="80">
        <f>'SEGMENTY I'!Y53-'SEGMENTY I'!Z53</f>
        <v>-721737</v>
      </c>
      <c r="Z53" s="81">
        <f>'SEGMENTY I'!Z53-'SEGMENTY I'!AA53</f>
        <v>4179000</v>
      </c>
      <c r="AA53" s="80">
        <f>'SEGMENTY I'!AA53-'SEGMENTY I'!AB53</f>
        <v>1191000</v>
      </c>
      <c r="AB53" s="81">
        <v>2727000</v>
      </c>
    </row>
    <row r="54" spans="1:28" ht="27.95" customHeight="1">
      <c r="A54" s="152" t="s">
        <v>113</v>
      </c>
      <c r="B54" s="206">
        <f>'SEGMENTY I'!B54-'SEGMENTY I'!C54</f>
        <v>7357690.450000003</v>
      </c>
      <c r="C54" s="202">
        <f>SUM(C52:C53)</f>
        <v>10983113.890014494</v>
      </c>
      <c r="D54" s="85">
        <f>SUM(D52:D53)</f>
        <v>9342617.2699855063</v>
      </c>
      <c r="E54" s="202">
        <f>E52+E53</f>
        <v>8086673.488935451</v>
      </c>
      <c r="F54" s="206">
        <f>SUM(F52:F53)</f>
        <v>8158245.1799723664</v>
      </c>
      <c r="G54" s="202">
        <f>G52+G53</f>
        <v>7939497.212136942</v>
      </c>
      <c r="H54" s="85">
        <f>SUM(H52:H53)</f>
        <v>6834774.3765075067</v>
      </c>
      <c r="I54" s="202">
        <f>I52+I53</f>
        <v>7380954.2457432179</v>
      </c>
      <c r="J54" s="206">
        <f>SUM(J52:J53)</f>
        <v>5146658.5679622907</v>
      </c>
      <c r="K54" s="202">
        <f>K52+K53</f>
        <v>5833700.3799999999</v>
      </c>
      <c r="L54" s="85">
        <f>SUM(L52:L53)</f>
        <v>6037639.5800000001</v>
      </c>
      <c r="M54" s="220">
        <f>M52+M53</f>
        <v>6270337.3600000003</v>
      </c>
      <c r="N54" s="206">
        <f>SUM(N52:N53)</f>
        <v>6505697.1399999987</v>
      </c>
      <c r="O54" s="202">
        <f>O52+O53</f>
        <v>3382276.4700000007</v>
      </c>
      <c r="P54" s="85">
        <v>6362827.7199999997</v>
      </c>
      <c r="Q54" s="80">
        <f>'SEGMENTY I'!Q54-'SEGMENTY I'!R54</f>
        <v>2998487.5492324382</v>
      </c>
      <c r="R54" s="81">
        <f>'SEGMENTY I'!R54-'SEGMENTY I'!S54</f>
        <v>4873953.3936198074</v>
      </c>
      <c r="S54" s="80">
        <f>'SEGMENTY I'!S54-'SEGMENTY I'!T54</f>
        <v>4888274.667421204</v>
      </c>
      <c r="T54" s="85">
        <v>5354532.0397265488</v>
      </c>
      <c r="U54" s="80">
        <f>'SEGMENTY I'!U54-'SEGMENTY I'!V54</f>
        <v>5365403.558958875</v>
      </c>
      <c r="V54" s="81">
        <f>'SEGMENTY I'!V54-'SEGMENTY I'!W54</f>
        <v>5184643.6642113831</v>
      </c>
      <c r="W54" s="80">
        <f>'SEGMENTY I'!W54-'SEGMENTY I'!X54</f>
        <v>5357739.0681558205</v>
      </c>
      <c r="X54" s="85">
        <v>5318978.9686739231</v>
      </c>
      <c r="Y54" s="80">
        <f>'SEGMENTY I'!Y54-'SEGMENTY I'!Z54</f>
        <v>3190612.2420949899</v>
      </c>
      <c r="Z54" s="81">
        <f>'SEGMENTY I'!Z54-'SEGMENTY I'!AA54</f>
        <v>8761000</v>
      </c>
      <c r="AA54" s="80">
        <f>'SEGMENTY I'!AA54-'SEGMENTY I'!AB54</f>
        <v>6252000</v>
      </c>
      <c r="AB54" s="84">
        <v>7922000</v>
      </c>
    </row>
    <row r="55" spans="1:28" ht="27.95" customHeight="1">
      <c r="A55" s="151"/>
      <c r="B55" s="81"/>
      <c r="C55" s="201"/>
      <c r="D55" s="82"/>
      <c r="E55" s="201"/>
      <c r="F55" s="81"/>
      <c r="G55" s="201"/>
      <c r="H55" s="82"/>
      <c r="I55" s="201"/>
      <c r="J55" s="81"/>
      <c r="K55" s="201"/>
      <c r="L55" s="82"/>
      <c r="M55" s="219"/>
      <c r="N55" s="81"/>
      <c r="O55" s="201"/>
      <c r="P55" s="85"/>
      <c r="Q55" s="80"/>
      <c r="R55" s="81"/>
      <c r="S55" s="80"/>
      <c r="T55" s="82"/>
      <c r="U55" s="80"/>
      <c r="V55" s="81"/>
      <c r="W55" s="80"/>
      <c r="X55" s="82"/>
      <c r="Y55" s="80"/>
      <c r="Z55" s="81"/>
      <c r="AA55" s="80"/>
      <c r="AB55" s="81"/>
    </row>
    <row r="56" spans="1:28" ht="27.95" customHeight="1">
      <c r="A56" s="152" t="s">
        <v>114</v>
      </c>
      <c r="B56" s="206">
        <f>'SEGMENTY I'!B56-'SEGMENTY I'!C56</f>
        <v>-1386960.2399999984</v>
      </c>
      <c r="C56" s="202">
        <f t="shared" ref="C56:D56" si="21">C50-C54</f>
        <v>-568303.66001449525</v>
      </c>
      <c r="D56" s="85">
        <f t="shared" si="21"/>
        <v>231919.37001449428</v>
      </c>
      <c r="E56" s="202">
        <f t="shared" ref="E56" si="22">E50-E54</f>
        <v>354443.26106454898</v>
      </c>
      <c r="F56" s="206">
        <f t="shared" ref="F56" si="23">F50-F54</f>
        <v>387853.65002763737</v>
      </c>
      <c r="G56" s="202">
        <f t="shared" ref="G56" si="24">G50-G54</f>
        <v>-70130.602136944421</v>
      </c>
      <c r="H56" s="85">
        <f t="shared" ref="H56" si="25">H50-H54</f>
        <v>154904.12349249516</v>
      </c>
      <c r="I56" s="202">
        <f t="shared" ref="I56" si="26">I50-I54</f>
        <v>773462.21425678115</v>
      </c>
      <c r="J56" s="206">
        <f t="shared" ref="J56:O56" si="27">J50-J54</f>
        <v>483950.34203770943</v>
      </c>
      <c r="K56" s="202">
        <f t="shared" si="27"/>
        <v>537632.33000000007</v>
      </c>
      <c r="L56" s="85">
        <f t="shared" si="27"/>
        <v>559653.21999999974</v>
      </c>
      <c r="M56" s="220">
        <f t="shared" si="27"/>
        <v>-480044.20000000112</v>
      </c>
      <c r="N56" s="206">
        <f t="shared" si="27"/>
        <v>1303672.7100000009</v>
      </c>
      <c r="O56" s="202">
        <f t="shared" si="27"/>
        <v>1045670.1400000006</v>
      </c>
      <c r="P56" s="85">
        <v>659170.27</v>
      </c>
      <c r="Q56" s="80">
        <f>'SEGMENTY I'!Q56-'SEGMENTY I'!R56</f>
        <v>2013633.6507675573</v>
      </c>
      <c r="R56" s="81">
        <f>'SEGMENTY I'!R56-'SEGMENTY I'!S56</f>
        <v>824674.56638019718</v>
      </c>
      <c r="S56" s="80">
        <f>'SEGMENTY I'!S56-'SEGMENTY I'!T56</f>
        <v>1132041.5325787952</v>
      </c>
      <c r="T56" s="85">
        <v>700576.57027345058</v>
      </c>
      <c r="U56" s="80">
        <f>'SEGMENTY I'!U56-'SEGMENTY I'!V56</f>
        <v>690546.83104112558</v>
      </c>
      <c r="V56" s="81">
        <f>'SEGMENTY I'!V56-'SEGMENTY I'!W56</f>
        <v>-234737.7442113813</v>
      </c>
      <c r="W56" s="80">
        <f>'SEGMENTY I'!W56-'SEGMENTY I'!X56</f>
        <v>1888213.8718441781</v>
      </c>
      <c r="X56" s="85">
        <v>1420245.7913260777</v>
      </c>
      <c r="Y56" s="80">
        <f>'SEGMENTY I'!Y56-'SEGMENTY I'!Z56</f>
        <v>4981187.3379050158</v>
      </c>
      <c r="Z56" s="81">
        <f>'SEGMENTY I'!Z56-'SEGMENTY I'!AA56</f>
        <v>-361000</v>
      </c>
      <c r="AA56" s="80">
        <f>'SEGMENTY I'!AA56-'SEGMENTY I'!AB56</f>
        <v>-423000</v>
      </c>
      <c r="AB56" s="84">
        <v>-955000</v>
      </c>
    </row>
    <row r="57" spans="1:28" ht="27.95" customHeight="1">
      <c r="D57"/>
      <c r="F57" s="13"/>
      <c r="H57" s="17"/>
    </row>
    <row r="58" spans="1:28" ht="27.95" customHeight="1"/>
    <row r="59" spans="1:28" ht="27.95" customHeight="1"/>
    <row r="60" spans="1:28" ht="27.95" customHeight="1"/>
    <row r="61" spans="1:28" ht="27.95" customHeight="1"/>
    <row r="62" spans="1:28" ht="27.95" customHeight="1"/>
    <row r="63" spans="1:28" ht="27.95" customHeight="1"/>
    <row r="64" spans="1:28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</sheetData>
  <mergeCells count="4">
    <mergeCell ref="B45:W45"/>
    <mergeCell ref="B31:W31"/>
    <mergeCell ref="B17:W17"/>
    <mergeCell ref="B3:W3"/>
  </mergeCells>
  <pageMargins left="0.19685039370078741" right="0" top="0.19685039370078741" bottom="0.19685039370078741" header="0" footer="0"/>
  <pageSetup paperSize="9" scale="31" orientation="landscape" horizontalDpi="4294967293" verticalDpi="4294967293" r:id="rId1"/>
  <headerFooter>
    <oddFooter>&amp;RREDWOOD PR
powered by PROFESCAPITAL</oddFooter>
  </headerFooter>
  <colBreaks count="2" manualBreakCount="2">
    <brk id="16" max="49" man="1"/>
    <brk id="17" max="1048575" man="1"/>
  </colBreaks>
  <ignoredErrors>
    <ignoredError sqref="H50:N54 H36:N40 H22:N26 H8:N12 E50:G54 E36:G40 E22:G26 E8:G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26"/>
  <sheetViews>
    <sheetView showGridLines="0" zoomScale="60" zoomScaleNormal="60" zoomScaleSheetLayoutView="40" zoomScalePageLayoutView="50" workbookViewId="0">
      <pane xSplit="1" topLeftCell="B1" activePane="topRight" state="frozen"/>
      <selection activeCell="B22" sqref="B22"/>
      <selection pane="topRight"/>
    </sheetView>
  </sheetViews>
  <sheetFormatPr defaultRowHeight="18.75"/>
  <cols>
    <col min="1" max="1" width="86.140625" customWidth="1"/>
    <col min="2" max="4" width="21.7109375" customWidth="1"/>
    <col min="5" max="5" width="21.5703125" customWidth="1"/>
    <col min="6" max="6" width="21.7109375" customWidth="1"/>
    <col min="7" max="8" width="21.7109375" style="13" customWidth="1"/>
    <col min="9" max="28" width="21.7109375" customWidth="1"/>
  </cols>
  <sheetData>
    <row r="1" spans="1:28" ht="50.1" customHeight="1">
      <c r="A1" s="345" t="s">
        <v>153</v>
      </c>
      <c r="B1" s="345"/>
      <c r="C1" s="110"/>
      <c r="D1" s="110"/>
      <c r="E1" s="110"/>
      <c r="F1" s="110"/>
      <c r="G1" s="186"/>
      <c r="H1" s="186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  <c r="T1" s="113"/>
      <c r="U1" s="3"/>
      <c r="V1" s="3"/>
      <c r="W1" s="3"/>
      <c r="X1" s="3"/>
      <c r="Y1" s="3"/>
      <c r="Z1" s="3"/>
      <c r="AA1" s="3"/>
      <c r="AB1" s="3"/>
    </row>
    <row r="2" spans="1:28" ht="27.95" customHeight="1">
      <c r="A2" s="6"/>
      <c r="B2" s="6"/>
      <c r="C2" s="6"/>
      <c r="D2" s="6"/>
      <c r="E2" s="6"/>
      <c r="F2" s="6"/>
      <c r="G2" s="163"/>
      <c r="H2" s="163"/>
    </row>
    <row r="3" spans="1:28" ht="27.95" customHeight="1">
      <c r="A3" s="347" t="s">
        <v>151</v>
      </c>
      <c r="B3" s="347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28" ht="27.95" customHeight="1">
      <c r="A4" s="72"/>
      <c r="B4" s="72"/>
      <c r="C4" s="72"/>
      <c r="D4" s="72"/>
      <c r="E4" s="72"/>
      <c r="F4" s="72"/>
      <c r="G4" s="72"/>
      <c r="H4" s="187"/>
      <c r="I4" s="187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8" ht="27.95" customHeight="1">
      <c r="A5" s="231"/>
      <c r="B5" s="97" t="s">
        <v>215</v>
      </c>
      <c r="C5" s="188" t="s">
        <v>212</v>
      </c>
      <c r="D5" s="185" t="s">
        <v>211</v>
      </c>
      <c r="E5" s="188" t="s">
        <v>210</v>
      </c>
      <c r="F5" s="97" t="s">
        <v>207</v>
      </c>
      <c r="G5" s="188" t="s">
        <v>201</v>
      </c>
      <c r="H5" s="185" t="s">
        <v>199</v>
      </c>
      <c r="I5" s="188" t="s">
        <v>205</v>
      </c>
      <c r="J5" s="97" t="s">
        <v>195</v>
      </c>
      <c r="K5" s="188" t="s">
        <v>193</v>
      </c>
      <c r="L5" s="185" t="s">
        <v>191</v>
      </c>
      <c r="M5" s="222" t="s">
        <v>189</v>
      </c>
      <c r="N5" s="97" t="s">
        <v>187</v>
      </c>
      <c r="O5" s="188" t="s">
        <v>183</v>
      </c>
      <c r="P5" s="185" t="s">
        <v>163</v>
      </c>
      <c r="Q5" s="96" t="s">
        <v>117</v>
      </c>
      <c r="R5" s="97" t="s">
        <v>14</v>
      </c>
      <c r="S5" s="96" t="s">
        <v>15</v>
      </c>
      <c r="T5" s="98" t="s">
        <v>16</v>
      </c>
      <c r="U5" s="99" t="s">
        <v>17</v>
      </c>
      <c r="V5" s="97" t="s">
        <v>18</v>
      </c>
      <c r="W5" s="96" t="s">
        <v>19</v>
      </c>
      <c r="X5" s="102" t="s">
        <v>20</v>
      </c>
      <c r="Y5" s="99" t="s">
        <v>21</v>
      </c>
      <c r="Z5" s="97" t="s">
        <v>22</v>
      </c>
      <c r="AA5" s="96" t="s">
        <v>23</v>
      </c>
      <c r="AB5" s="97" t="s">
        <v>24</v>
      </c>
    </row>
    <row r="6" spans="1:28" ht="27.95" customHeight="1">
      <c r="A6" s="232" t="s">
        <v>77</v>
      </c>
      <c r="B6" s="104">
        <v>109270</v>
      </c>
      <c r="C6" s="448">
        <v>109270</v>
      </c>
      <c r="D6" s="190">
        <v>109270</v>
      </c>
      <c r="E6" s="448">
        <v>109270</v>
      </c>
      <c r="F6" s="104">
        <v>109270</v>
      </c>
      <c r="G6" s="189">
        <v>109270</v>
      </c>
      <c r="H6" s="190">
        <v>109270</v>
      </c>
      <c r="I6" s="189">
        <v>109270</v>
      </c>
      <c r="J6" s="104">
        <v>109270</v>
      </c>
      <c r="K6" s="189">
        <v>109270</v>
      </c>
      <c r="L6" s="190">
        <v>109270</v>
      </c>
      <c r="M6" s="224">
        <v>109270</v>
      </c>
      <c r="N6" s="104">
        <v>109270</v>
      </c>
      <c r="O6" s="189">
        <v>109270</v>
      </c>
      <c r="P6" s="190">
        <v>109270</v>
      </c>
      <c r="Q6" s="103">
        <v>109270</v>
      </c>
      <c r="R6" s="104">
        <v>109270</v>
      </c>
      <c r="S6" s="103">
        <v>109270</v>
      </c>
      <c r="T6" s="106">
        <v>109270</v>
      </c>
      <c r="U6" s="105">
        <v>109270</v>
      </c>
      <c r="V6" s="104">
        <v>109270</v>
      </c>
      <c r="W6" s="103">
        <v>109270</v>
      </c>
      <c r="X6" s="106">
        <v>109270</v>
      </c>
      <c r="Y6" s="105">
        <v>109270</v>
      </c>
      <c r="Z6" s="104">
        <v>109270</v>
      </c>
      <c r="AA6" s="103">
        <v>109270</v>
      </c>
      <c r="AB6" s="104">
        <v>109270</v>
      </c>
    </row>
    <row r="7" spans="1:28" ht="27.95" customHeight="1">
      <c r="A7" s="233" t="s">
        <v>78</v>
      </c>
      <c r="B7" s="100">
        <v>1.96</v>
      </c>
      <c r="C7" s="273">
        <v>1.98</v>
      </c>
      <c r="D7" s="197">
        <v>2</v>
      </c>
      <c r="E7" s="273">
        <v>1.94</v>
      </c>
      <c r="F7" s="100">
        <v>1.97</v>
      </c>
      <c r="G7" s="273">
        <v>1.97</v>
      </c>
      <c r="H7" s="191">
        <v>1.96</v>
      </c>
      <c r="I7" s="36">
        <v>1.93</v>
      </c>
      <c r="J7" s="100">
        <v>1.88</v>
      </c>
      <c r="K7" s="36">
        <v>1.91</v>
      </c>
      <c r="L7" s="191">
        <v>1.86</v>
      </c>
      <c r="M7" s="223">
        <v>1.84</v>
      </c>
      <c r="N7" s="100">
        <v>1.85</v>
      </c>
      <c r="O7" s="36">
        <v>1.91</v>
      </c>
      <c r="P7" s="191">
        <v>1.85</v>
      </c>
      <c r="Q7" s="58">
        <v>1.83</v>
      </c>
      <c r="R7" s="100">
        <v>1.82</v>
      </c>
      <c r="S7" s="58">
        <v>1.83</v>
      </c>
      <c r="T7" s="101">
        <v>1.74</v>
      </c>
      <c r="U7" s="107">
        <v>1.69</v>
      </c>
      <c r="V7" s="100">
        <v>1.72</v>
      </c>
      <c r="W7" s="108">
        <v>1.72</v>
      </c>
      <c r="X7" s="101">
        <v>1.67</v>
      </c>
      <c r="Y7" s="107">
        <v>1.64</v>
      </c>
      <c r="Z7" s="100">
        <v>1.62</v>
      </c>
      <c r="AA7" s="58">
        <v>1.63</v>
      </c>
      <c r="AB7" s="100">
        <v>1.61</v>
      </c>
    </row>
    <row r="8" spans="1:28" ht="27.95" customHeight="1">
      <c r="A8" s="233" t="s">
        <v>170</v>
      </c>
      <c r="B8" s="100">
        <v>0.01</v>
      </c>
      <c r="C8" s="273">
        <v>0.05</v>
      </c>
      <c r="D8" s="191">
        <v>0.06</v>
      </c>
      <c r="E8" s="273">
        <v>0.02</v>
      </c>
      <c r="F8" s="100">
        <v>0.04</v>
      </c>
      <c r="G8" s="273">
        <v>0.03</v>
      </c>
      <c r="H8" s="191">
        <v>0.03</v>
      </c>
      <c r="I8" s="36">
        <v>0.1</v>
      </c>
      <c r="J8" s="100">
        <v>0.06</v>
      </c>
      <c r="K8" s="36">
        <v>0.09</v>
      </c>
      <c r="L8" s="191">
        <v>0.04</v>
      </c>
      <c r="M8" s="223">
        <v>0.02</v>
      </c>
      <c r="N8" s="100">
        <v>0.02</v>
      </c>
      <c r="O8" s="36">
        <v>0.09</v>
      </c>
      <c r="P8" s="191">
        <v>0.02</v>
      </c>
      <c r="Q8" s="58">
        <v>0.1</v>
      </c>
      <c r="R8" s="100">
        <v>0.12</v>
      </c>
      <c r="S8" s="58">
        <v>0.13</v>
      </c>
      <c r="T8" s="101">
        <v>0.04</v>
      </c>
      <c r="U8" s="107">
        <v>0.03</v>
      </c>
      <c r="V8" s="100">
        <v>0.06</v>
      </c>
      <c r="W8" s="58">
        <v>7.0000000000000007E-2</v>
      </c>
      <c r="X8" s="101">
        <v>0.03</v>
      </c>
      <c r="Y8" s="107">
        <v>0.05</v>
      </c>
      <c r="Z8" s="100">
        <v>0.03</v>
      </c>
      <c r="AA8" s="58">
        <v>0.05</v>
      </c>
      <c r="AB8" s="100">
        <v>0.03</v>
      </c>
    </row>
    <row r="9" spans="1:28" ht="27.95" customHeight="1">
      <c r="A9" s="233" t="s">
        <v>79</v>
      </c>
      <c r="B9" s="109">
        <v>78</v>
      </c>
      <c r="C9" s="273">
        <v>17.2</v>
      </c>
      <c r="D9" s="197">
        <v>13.42</v>
      </c>
      <c r="E9" s="273">
        <v>42.36</v>
      </c>
      <c r="F9" s="109">
        <v>24.14</v>
      </c>
      <c r="G9" s="273">
        <v>37.65</v>
      </c>
      <c r="H9" s="197">
        <v>46.26</v>
      </c>
      <c r="I9" s="36">
        <v>10.7</v>
      </c>
      <c r="J9" s="109">
        <v>16.7</v>
      </c>
      <c r="K9" s="36">
        <v>9.27</v>
      </c>
      <c r="L9" s="197">
        <v>26</v>
      </c>
      <c r="M9" s="223">
        <v>41.5</v>
      </c>
      <c r="N9" s="109">
        <v>52.5</v>
      </c>
      <c r="O9" s="36">
        <v>12</v>
      </c>
      <c r="P9" s="197">
        <v>66.5</v>
      </c>
      <c r="Q9" s="58">
        <v>10.8</v>
      </c>
      <c r="R9" s="100">
        <v>11.17</v>
      </c>
      <c r="S9" s="58">
        <v>8.69</v>
      </c>
      <c r="T9" s="101">
        <v>31.5</v>
      </c>
      <c r="U9" s="107">
        <v>56.67</v>
      </c>
      <c r="V9" s="100">
        <v>29.83</v>
      </c>
      <c r="W9" s="58">
        <v>18.29</v>
      </c>
      <c r="X9" s="101">
        <v>41</v>
      </c>
      <c r="Y9" s="107">
        <v>14</v>
      </c>
      <c r="Z9" s="109">
        <v>24.33</v>
      </c>
      <c r="AA9" s="58">
        <v>14.4</v>
      </c>
      <c r="AB9" s="100">
        <v>27.33</v>
      </c>
    </row>
    <row r="10" spans="1:28" ht="27.95" customHeight="1">
      <c r="A10" s="233" t="s">
        <v>80</v>
      </c>
      <c r="B10" s="100">
        <v>1.1499999999999999</v>
      </c>
      <c r="C10" s="273">
        <v>1.1399999999999999</v>
      </c>
      <c r="D10" s="191">
        <v>1.17</v>
      </c>
      <c r="E10" s="273">
        <v>1.1200000000000001</v>
      </c>
      <c r="F10" s="100">
        <v>1.18</v>
      </c>
      <c r="G10" s="273">
        <v>1.19</v>
      </c>
      <c r="H10" s="191">
        <v>1.19</v>
      </c>
      <c r="I10" s="36">
        <v>1.23</v>
      </c>
      <c r="J10" s="100">
        <v>1.19</v>
      </c>
      <c r="K10" s="36">
        <v>1.25</v>
      </c>
      <c r="L10" s="191">
        <v>1.1599999999999999</v>
      </c>
      <c r="M10" s="223">
        <v>1.22</v>
      </c>
      <c r="N10" s="100">
        <v>1.39</v>
      </c>
      <c r="O10" s="36">
        <v>1.49</v>
      </c>
      <c r="P10" s="191">
        <v>1.36</v>
      </c>
      <c r="Q10" s="58">
        <v>1.46</v>
      </c>
      <c r="R10" s="100">
        <v>1.44</v>
      </c>
      <c r="S10" s="58">
        <v>1.43</v>
      </c>
      <c r="T10" s="101">
        <v>1.43</v>
      </c>
      <c r="U10" s="107">
        <v>1.56</v>
      </c>
      <c r="V10" s="100">
        <v>1.36</v>
      </c>
      <c r="W10" s="58">
        <v>1.32</v>
      </c>
      <c r="X10" s="101">
        <v>1.24</v>
      </c>
      <c r="Y10" s="107">
        <v>1.24</v>
      </c>
      <c r="Z10" s="100">
        <v>1.34</v>
      </c>
      <c r="AA10" s="58">
        <v>1.3</v>
      </c>
      <c r="AB10" s="100">
        <v>1.29</v>
      </c>
    </row>
    <row r="11" spans="1:28" ht="27.95" customHeight="1">
      <c r="A11" s="233" t="s">
        <v>81</v>
      </c>
      <c r="B11" s="109">
        <v>0.66</v>
      </c>
      <c r="C11" s="273">
        <v>0.67</v>
      </c>
      <c r="D11" s="191">
        <v>0.65</v>
      </c>
      <c r="E11" s="273">
        <v>0.51</v>
      </c>
      <c r="F11" s="109">
        <v>0.61</v>
      </c>
      <c r="G11" s="273">
        <v>0.63</v>
      </c>
      <c r="H11" s="191">
        <v>0.67</v>
      </c>
      <c r="I11" s="36">
        <v>0.62</v>
      </c>
      <c r="J11" s="109">
        <v>0.6</v>
      </c>
      <c r="K11" s="36">
        <v>0.73</v>
      </c>
      <c r="L11" s="191">
        <v>0.65</v>
      </c>
      <c r="M11" s="223">
        <v>0.56000000000000005</v>
      </c>
      <c r="N11" s="100">
        <v>0.72</v>
      </c>
      <c r="O11" s="36">
        <v>0.83</v>
      </c>
      <c r="P11" s="191">
        <v>0.73</v>
      </c>
      <c r="Q11" s="58">
        <v>0.74</v>
      </c>
      <c r="R11" s="100">
        <v>0.71</v>
      </c>
      <c r="S11" s="58">
        <v>0.8</v>
      </c>
      <c r="T11" s="101">
        <v>0.78</v>
      </c>
      <c r="U11" s="107">
        <v>0.67</v>
      </c>
      <c r="V11" s="100">
        <v>0.6</v>
      </c>
      <c r="W11" s="58">
        <v>0.69</v>
      </c>
      <c r="X11" s="101">
        <v>0.64</v>
      </c>
      <c r="Y11" s="107">
        <v>0.54</v>
      </c>
      <c r="Z11" s="100">
        <v>0.62</v>
      </c>
      <c r="AA11" s="58">
        <v>0.73</v>
      </c>
      <c r="AB11" s="100">
        <v>0.64</v>
      </c>
    </row>
    <row r="12" spans="1:28" ht="27.95" customHeight="1">
      <c r="A12" s="233" t="s">
        <v>167</v>
      </c>
      <c r="B12" s="143">
        <v>0.19570000000000001</v>
      </c>
      <c r="C12" s="275">
        <v>0.21290000000000001</v>
      </c>
      <c r="D12" s="193">
        <v>0.26140000000000002</v>
      </c>
      <c r="E12" s="275">
        <v>0.2185</v>
      </c>
      <c r="F12" s="143">
        <v>0.22839999999999999</v>
      </c>
      <c r="G12" s="275">
        <v>0.21609999999999999</v>
      </c>
      <c r="H12" s="193">
        <v>0.2276</v>
      </c>
      <c r="I12" s="192">
        <v>0.22639999999999999</v>
      </c>
      <c r="J12" s="143">
        <v>0.1923</v>
      </c>
      <c r="K12" s="192">
        <v>0.2175</v>
      </c>
      <c r="L12" s="193">
        <v>0.19969999999999999</v>
      </c>
      <c r="M12" s="226">
        <v>0.14760000000000001</v>
      </c>
      <c r="N12" s="143">
        <v>0.1515</v>
      </c>
      <c r="O12" s="192">
        <v>0.18640000000000001</v>
      </c>
      <c r="P12" s="193">
        <v>0.1762</v>
      </c>
      <c r="Q12" s="142">
        <v>0.21099999999999999</v>
      </c>
      <c r="R12" s="143">
        <v>0.23119999999999999</v>
      </c>
      <c r="S12" s="142">
        <v>0.2487</v>
      </c>
      <c r="T12" s="144">
        <v>0.2041</v>
      </c>
      <c r="U12" s="145">
        <v>0.19159999999999999</v>
      </c>
      <c r="V12" s="143">
        <v>0.21640000000000001</v>
      </c>
      <c r="W12" s="142">
        <v>0.23230000000000001</v>
      </c>
      <c r="X12" s="144">
        <v>0.24629999999999999</v>
      </c>
      <c r="Y12" s="145">
        <v>0.20799999999999999</v>
      </c>
      <c r="Z12" s="143">
        <v>0.20480000000000001</v>
      </c>
      <c r="AA12" s="142">
        <v>0.22009999999999999</v>
      </c>
      <c r="AB12" s="143">
        <v>0.2303</v>
      </c>
    </row>
    <row r="13" spans="1:28" ht="27.95" customHeight="1">
      <c r="A13" s="233" t="s">
        <v>168</v>
      </c>
      <c r="B13" s="143">
        <v>4.7000000000000002E-3</v>
      </c>
      <c r="C13" s="275">
        <v>1.23E-2</v>
      </c>
      <c r="D13" s="193">
        <v>1.52E-2</v>
      </c>
      <c r="E13" s="275">
        <v>6.1000000000000004E-3</v>
      </c>
      <c r="F13" s="143">
        <v>1.14E-2</v>
      </c>
      <c r="G13" s="275">
        <v>9.4000000000000004E-3</v>
      </c>
      <c r="H13" s="193">
        <v>8.2000000000000007E-3</v>
      </c>
      <c r="I13" s="192">
        <v>3.1E-2</v>
      </c>
      <c r="J13" s="143">
        <v>1.7999999999999999E-2</v>
      </c>
      <c r="K13" s="192">
        <v>2.5600000000000001E-2</v>
      </c>
      <c r="L13" s="193">
        <v>1.06E-2</v>
      </c>
      <c r="M13" s="226">
        <v>6.1999999999999998E-3</v>
      </c>
      <c r="N13" s="143">
        <v>6.7999999999999996E-3</v>
      </c>
      <c r="O13" s="192">
        <v>2.58E-2</v>
      </c>
      <c r="P13" s="193">
        <v>6.4000000000000003E-3</v>
      </c>
      <c r="Q13" s="142">
        <v>3.0800000000000001E-2</v>
      </c>
      <c r="R13" s="143">
        <v>3.7600000000000001E-2</v>
      </c>
      <c r="S13" s="142">
        <v>4.0300000000000002E-2</v>
      </c>
      <c r="T13" s="144">
        <v>1.38E-2</v>
      </c>
      <c r="U13" s="145">
        <v>8.8999999999999999E-3</v>
      </c>
      <c r="V13" s="143">
        <v>2.3E-2</v>
      </c>
      <c r="W13" s="142">
        <v>2.69E-2</v>
      </c>
      <c r="X13" s="144">
        <v>1.06E-2</v>
      </c>
      <c r="Y13" s="145">
        <v>1.9300000000000001E-2</v>
      </c>
      <c r="Z13" s="143">
        <v>1.23E-2</v>
      </c>
      <c r="AA13" s="142">
        <v>1.6500000000000001E-2</v>
      </c>
      <c r="AB13" s="143">
        <v>9.4000000000000004E-3</v>
      </c>
    </row>
    <row r="14" spans="1:28" ht="27.95" customHeight="1">
      <c r="A14" s="233" t="s">
        <v>169</v>
      </c>
      <c r="B14" s="143">
        <v>8.6999999999999994E-3</v>
      </c>
      <c r="C14" s="275">
        <v>2.3199999999999998E-2</v>
      </c>
      <c r="D14" s="193">
        <v>2.87E-2</v>
      </c>
      <c r="E14" s="275">
        <v>1.0999999999999999E-2</v>
      </c>
      <c r="F14" s="143">
        <v>2.0199999999999999E-2</v>
      </c>
      <c r="G14" s="275">
        <v>1.67E-2</v>
      </c>
      <c r="H14" s="193">
        <v>1.4800000000000001E-2</v>
      </c>
      <c r="I14" s="192">
        <v>5.3100000000000001E-2</v>
      </c>
      <c r="J14" s="143">
        <v>3.2500000000000001E-2</v>
      </c>
      <c r="K14" s="192">
        <v>4.6800000000000001E-2</v>
      </c>
      <c r="L14" s="193">
        <v>2.0299999999999999E-2</v>
      </c>
      <c r="M14" s="226">
        <v>1.0999999999999999E-2</v>
      </c>
      <c r="N14" s="143">
        <v>1.2E-2</v>
      </c>
      <c r="O14" s="192">
        <v>4.5100000000000001E-2</v>
      </c>
      <c r="P14" s="193">
        <v>1.2E-2</v>
      </c>
      <c r="Q14" s="142">
        <v>5.4100000000000002E-2</v>
      </c>
      <c r="R14" s="143">
        <v>6.5100000000000005E-2</v>
      </c>
      <c r="S14" s="142">
        <v>7.0699999999999999E-2</v>
      </c>
      <c r="T14" s="144">
        <v>2.53E-2</v>
      </c>
      <c r="U14" s="145">
        <v>1.4800000000000001E-2</v>
      </c>
      <c r="V14" s="143">
        <v>3.5900000000000001E-2</v>
      </c>
      <c r="W14" s="142">
        <v>4.3499999999999997E-2</v>
      </c>
      <c r="X14" s="144">
        <v>1.8800000000000001E-2</v>
      </c>
      <c r="Y14" s="145">
        <v>3.15E-2</v>
      </c>
      <c r="Z14" s="143">
        <v>1.9699999999999999E-2</v>
      </c>
      <c r="AA14" s="142">
        <v>2.7799999999999998E-2</v>
      </c>
      <c r="AB14" s="143">
        <v>1.6199999999999999E-2</v>
      </c>
    </row>
    <row r="15" spans="1:28" ht="27.95" customHeight="1">
      <c r="A15" s="233" t="s">
        <v>172</v>
      </c>
      <c r="B15" s="143">
        <v>0.45639999999999997</v>
      </c>
      <c r="C15" s="275">
        <v>0.46910000000000002</v>
      </c>
      <c r="D15" s="193">
        <v>0.47</v>
      </c>
      <c r="E15" s="275">
        <v>0.4446</v>
      </c>
      <c r="F15" s="143">
        <v>0.43740000000000001</v>
      </c>
      <c r="G15" s="275">
        <v>0.43940000000000001</v>
      </c>
      <c r="H15" s="193">
        <v>0.44619999999999999</v>
      </c>
      <c r="I15" s="192">
        <v>0.41599999999999998</v>
      </c>
      <c r="J15" s="143">
        <v>0.44500000000000001</v>
      </c>
      <c r="K15" s="192">
        <v>0.45390000000000003</v>
      </c>
      <c r="L15" s="193">
        <v>0.47860000000000003</v>
      </c>
      <c r="M15" s="226">
        <v>0.43469999999999998</v>
      </c>
      <c r="N15" s="143">
        <v>0.43359999999999999</v>
      </c>
      <c r="O15" s="192">
        <v>0.42730000000000001</v>
      </c>
      <c r="P15" s="193">
        <v>0.46820000000000001</v>
      </c>
      <c r="Q15" s="142">
        <v>0.43049999999999999</v>
      </c>
      <c r="R15" s="143">
        <v>0.42170000000000002</v>
      </c>
      <c r="S15" s="142">
        <v>0.42949999999999999</v>
      </c>
      <c r="T15" s="144">
        <v>0.4541</v>
      </c>
      <c r="U15" s="145">
        <v>0.39839999999999998</v>
      </c>
      <c r="V15" s="143">
        <v>0.35920000000000002</v>
      </c>
      <c r="W15" s="142">
        <v>0.38090000000000002</v>
      </c>
      <c r="X15" s="144">
        <v>0.43340000000000001</v>
      </c>
      <c r="Y15" s="145">
        <v>0.38690000000000002</v>
      </c>
      <c r="Z15" s="143">
        <v>0.37619999999999998</v>
      </c>
      <c r="AA15" s="142">
        <v>0.40550000000000003</v>
      </c>
      <c r="AB15" s="143">
        <v>0.42070000000000002</v>
      </c>
    </row>
    <row r="16" spans="1:28" ht="27.95" customHeight="1">
      <c r="A16" s="233" t="s">
        <v>171</v>
      </c>
      <c r="B16" s="139">
        <v>85231</v>
      </c>
      <c r="C16" s="274">
        <v>93972.2</v>
      </c>
      <c r="D16" s="195">
        <v>84138</v>
      </c>
      <c r="E16" s="274">
        <v>98343</v>
      </c>
      <c r="F16" s="139">
        <v>104899</v>
      </c>
      <c r="G16" s="274">
        <v>135495</v>
      </c>
      <c r="H16" s="195">
        <v>146422</v>
      </c>
      <c r="I16" s="194">
        <v>116919</v>
      </c>
      <c r="J16" s="139">
        <v>111455</v>
      </c>
      <c r="K16" s="194">
        <v>90694</v>
      </c>
      <c r="L16" s="195">
        <v>107085</v>
      </c>
      <c r="M16" s="227">
        <v>90694</v>
      </c>
      <c r="N16" s="139">
        <v>114734</v>
      </c>
      <c r="O16" s="194">
        <v>118012</v>
      </c>
      <c r="P16" s="195">
        <v>145329.1</v>
      </c>
      <c r="Q16" s="138">
        <v>118011.6</v>
      </c>
      <c r="R16" s="139">
        <v>146421.80000000002</v>
      </c>
      <c r="S16" s="138">
        <v>123475.09999999999</v>
      </c>
      <c r="T16" s="140">
        <v>137680.20000000001</v>
      </c>
      <c r="U16" s="141">
        <v>185759</v>
      </c>
      <c r="V16" s="139">
        <v>195593.30000000002</v>
      </c>
      <c r="W16" s="138">
        <v>139865.60000000001</v>
      </c>
      <c r="X16" s="140">
        <v>134402.1</v>
      </c>
      <c r="Y16" s="141">
        <v>76489</v>
      </c>
      <c r="Z16" s="139">
        <v>79767.099999999991</v>
      </c>
      <c r="AA16" s="138">
        <v>78674.399999999994</v>
      </c>
      <c r="AB16" s="139">
        <v>89601.4</v>
      </c>
    </row>
    <row r="17" spans="2:21" ht="24" customHeight="1">
      <c r="B17" s="242"/>
      <c r="F17" s="225"/>
      <c r="G17"/>
      <c r="I17" s="13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</row>
    <row r="18" spans="2:21" s="136" customFormat="1" ht="21"/>
    <row r="19" spans="2:21" s="136" customFormat="1" ht="21"/>
    <row r="20" spans="2:21" s="136" customFormat="1" ht="21">
      <c r="B20" s="234"/>
      <c r="C20" s="234"/>
    </row>
    <row r="21" spans="2:21" s="136" customFormat="1" ht="21"/>
    <row r="22" spans="2:21" s="136" customFormat="1" ht="21"/>
    <row r="23" spans="2:21" s="136" customFormat="1" ht="21"/>
    <row r="24" spans="2:21" s="136" customFormat="1" ht="21"/>
    <row r="25" spans="2:21" s="136" customFormat="1" ht="21"/>
    <row r="26" spans="2:21" s="136" customFormat="1" ht="21"/>
  </sheetData>
  <pageMargins left="0.19685039370078741" right="0" top="0.19685039370078741" bottom="0.19685039370078741" header="0" footer="0"/>
  <pageSetup paperSize="9" scale="28" fitToHeight="0" orientation="landscape" horizontalDpi="4294967293" verticalDpi="4294967293" r:id="rId1"/>
  <headerFooter>
    <oddFooter>&amp;RREDWOOD PR
powered by PROFESCAPITAL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S70"/>
  <sheetViews>
    <sheetView showGridLines="0" zoomScale="60" zoomScaleNormal="60" zoomScaleSheetLayoutView="40" zoomScalePageLayoutView="40" workbookViewId="0">
      <pane xSplit="1" topLeftCell="B1" activePane="topRight" state="frozen"/>
      <selection activeCell="D44" sqref="D44"/>
      <selection pane="topRight" sqref="A1:O1"/>
    </sheetView>
  </sheetViews>
  <sheetFormatPr defaultRowHeight="15"/>
  <cols>
    <col min="1" max="1" width="52.5703125" customWidth="1"/>
    <col min="2" max="2" width="21.7109375" customWidth="1"/>
    <col min="3" max="3" width="12.7109375" customWidth="1"/>
    <col min="4" max="4" width="21.7109375" customWidth="1"/>
    <col min="5" max="5" width="12.140625" bestFit="1" customWidth="1"/>
    <col min="6" max="6" width="21.7109375" customWidth="1"/>
    <col min="7" max="7" width="12.7109375" customWidth="1"/>
    <col min="8" max="8" width="21.7109375" customWidth="1"/>
    <col min="9" max="9" width="12.7109375" customWidth="1"/>
    <col min="10" max="10" width="21.7109375" customWidth="1"/>
    <col min="11" max="11" width="12.7109375" customWidth="1"/>
    <col min="12" max="12" width="21.7109375" customWidth="1"/>
    <col min="13" max="13" width="12.42578125" customWidth="1"/>
    <col min="14" max="14" width="21.7109375" customWidth="1"/>
    <col min="15" max="15" width="12.7109375" customWidth="1"/>
    <col min="16" max="35" width="21.7109375" customWidth="1"/>
    <col min="36" max="36" width="15.7109375" customWidth="1"/>
    <col min="37" max="37" width="8.7109375" customWidth="1"/>
    <col min="38" max="38" width="15.7109375" customWidth="1"/>
    <col min="39" max="39" width="8.7109375" customWidth="1"/>
    <col min="40" max="40" width="15.7109375" customWidth="1"/>
    <col min="41" max="41" width="8.7109375" customWidth="1"/>
    <col min="42" max="42" width="15.7109375" customWidth="1"/>
    <col min="43" max="43" width="8.7109375" customWidth="1"/>
    <col min="44" max="44" width="15.7109375" customWidth="1"/>
    <col min="45" max="45" width="8.7109375" customWidth="1"/>
  </cols>
  <sheetData>
    <row r="1" spans="1:54" ht="50.1" customHeight="1">
      <c r="A1" s="460" t="s">
        <v>206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"/>
      <c r="Q1" s="4"/>
      <c r="R1" s="4"/>
      <c r="S1" s="4"/>
      <c r="T1" s="4"/>
      <c r="U1" s="4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85"/>
      <c r="AH1" s="4"/>
      <c r="AI1" s="4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2"/>
      <c r="AW1" s="2"/>
      <c r="AX1" s="2"/>
      <c r="AY1" s="2"/>
      <c r="AZ1" s="2"/>
      <c r="BA1" s="2"/>
      <c r="BB1" s="2"/>
    </row>
    <row r="2" spans="1:54" ht="27.95" customHeight="1"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</row>
    <row r="3" spans="1:54" ht="35.1" customHeight="1">
      <c r="A3" s="459" t="s">
        <v>146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349"/>
      <c r="R3" s="394"/>
      <c r="S3" s="394"/>
      <c r="T3" s="394"/>
      <c r="U3" s="394"/>
      <c r="V3" s="394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</row>
    <row r="4" spans="1:54" ht="27.95" customHeight="1">
      <c r="A4" s="412"/>
      <c r="B4" s="278">
        <v>2017</v>
      </c>
      <c r="C4" s="435" t="s">
        <v>116</v>
      </c>
      <c r="D4" s="22">
        <v>2016</v>
      </c>
      <c r="E4" s="432" t="s">
        <v>116</v>
      </c>
      <c r="F4" s="278">
        <v>2015</v>
      </c>
      <c r="G4" s="435" t="s">
        <v>116</v>
      </c>
      <c r="H4" s="22">
        <v>2014</v>
      </c>
      <c r="I4" s="372" t="s">
        <v>116</v>
      </c>
      <c r="J4" s="23">
        <v>2013</v>
      </c>
      <c r="K4" s="438" t="s">
        <v>116</v>
      </c>
      <c r="L4" s="352">
        <v>2012</v>
      </c>
      <c r="O4" s="23"/>
      <c r="Q4" s="23"/>
      <c r="R4" s="23"/>
      <c r="S4" s="395"/>
      <c r="T4" s="396"/>
      <c r="U4" s="396"/>
      <c r="V4" s="395"/>
      <c r="W4" s="395"/>
      <c r="X4" s="395"/>
      <c r="Y4" s="354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4"/>
      <c r="AX4" s="348"/>
      <c r="AY4" s="348"/>
    </row>
    <row r="5" spans="1:54" ht="27.95" customHeight="1">
      <c r="A5" s="413" t="s">
        <v>2</v>
      </c>
      <c r="B5" s="355">
        <v>44350628.240000002</v>
      </c>
      <c r="C5" s="436">
        <f>(B5/D5)-1</f>
        <v>-0.32402259863018534</v>
      </c>
      <c r="D5" s="373">
        <v>65609631.549999997</v>
      </c>
      <c r="E5" s="433">
        <f>(D5/F5)-1</f>
        <v>0.25495433855896055</v>
      </c>
      <c r="F5" s="355">
        <v>52280493.030000001</v>
      </c>
      <c r="G5" s="436">
        <f>(F5/H5)-1</f>
        <v>0.2711791504280463</v>
      </c>
      <c r="H5" s="357">
        <v>41127557.049999997</v>
      </c>
      <c r="I5" s="433">
        <f>(H5/J5)-1</f>
        <v>0.31937522470390145</v>
      </c>
      <c r="J5" s="359">
        <v>31171994.350000001</v>
      </c>
      <c r="K5" s="439">
        <f>(J5/L5)-1</f>
        <v>2.063360122850133E-3</v>
      </c>
      <c r="L5" s="357">
        <v>31107807.739999998</v>
      </c>
      <c r="O5" s="360"/>
      <c r="Q5" s="362"/>
      <c r="R5" s="362"/>
      <c r="S5" s="398"/>
      <c r="T5" s="396"/>
      <c r="U5" s="396"/>
      <c r="V5" s="394"/>
      <c r="W5" s="394"/>
      <c r="X5" s="394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</row>
    <row r="6" spans="1:54" ht="27.95" customHeight="1">
      <c r="A6" s="414" t="s">
        <v>3</v>
      </c>
      <c r="B6" s="364">
        <v>8197269.4699999988</v>
      </c>
      <c r="C6" s="437">
        <f t="shared" ref="C6:C12" si="0">(B6/D6)-1</f>
        <v>-0.51796421765430811</v>
      </c>
      <c r="D6" s="62">
        <v>17005520.689999998</v>
      </c>
      <c r="E6" s="434">
        <f t="shared" ref="E6:E12" si="1">(D6/F6)-1</f>
        <v>0.52902778413142304</v>
      </c>
      <c r="F6" s="364">
        <v>11121786.58</v>
      </c>
      <c r="G6" s="437">
        <f t="shared" ref="G6:I19" si="2">(F6/H6)-1</f>
        <v>0.17199202826958926</v>
      </c>
      <c r="H6" s="28">
        <v>9489643.5399999954</v>
      </c>
      <c r="I6" s="434">
        <f t="shared" si="2"/>
        <v>1.5920118083929382</v>
      </c>
      <c r="J6" s="367">
        <v>3661111.2300000004</v>
      </c>
      <c r="K6" s="440">
        <f t="shared" ref="K6:K19" si="3">(J6/L6)-1</f>
        <v>-0.48876962506794053</v>
      </c>
      <c r="L6" s="28">
        <v>7161372.6600000001</v>
      </c>
      <c r="O6" s="360"/>
      <c r="Q6" s="261"/>
      <c r="R6" s="362"/>
      <c r="S6" s="278"/>
      <c r="T6" s="396"/>
      <c r="U6" s="396"/>
      <c r="V6" s="278"/>
      <c r="W6" s="399"/>
      <c r="X6" s="278"/>
      <c r="Y6" s="351"/>
      <c r="Z6" s="23"/>
      <c r="AA6" s="351"/>
      <c r="AB6" s="23"/>
      <c r="AC6" s="351"/>
      <c r="AD6" s="23"/>
      <c r="AE6" s="351"/>
      <c r="AF6" s="23"/>
      <c r="AG6" s="351"/>
      <c r="AH6" s="23"/>
      <c r="AI6" s="351"/>
      <c r="AJ6" s="23"/>
      <c r="AK6" s="351"/>
      <c r="AL6" s="23"/>
      <c r="AM6" s="351"/>
      <c r="AN6" s="351"/>
      <c r="AO6" s="351"/>
      <c r="AP6" s="23"/>
      <c r="AQ6" s="351"/>
      <c r="AR6" s="23"/>
      <c r="AS6" s="351"/>
      <c r="AT6" s="23"/>
      <c r="AU6" s="351"/>
      <c r="AV6" s="23"/>
      <c r="AW6" s="351"/>
      <c r="AX6" s="348"/>
      <c r="AY6" s="348"/>
    </row>
    <row r="7" spans="1:54" ht="27.95" customHeight="1">
      <c r="A7" s="414" t="s">
        <v>4</v>
      </c>
      <c r="B7" s="364">
        <v>-1976825.5200000005</v>
      </c>
      <c r="C7" s="437">
        <f t="shared" si="0"/>
        <v>-1.2728019327375499</v>
      </c>
      <c r="D7" s="62">
        <v>7246376.5199999977</v>
      </c>
      <c r="E7" s="434">
        <f t="shared" si="1"/>
        <v>1.1556996544113449</v>
      </c>
      <c r="F7" s="364">
        <v>3361496.35</v>
      </c>
      <c r="G7" s="437">
        <f t="shared" si="2"/>
        <v>0.54220523209624738</v>
      </c>
      <c r="H7" s="28">
        <v>2179668.6199999955</v>
      </c>
      <c r="I7" s="434">
        <f t="shared" si="2"/>
        <v>-1.7956984935739846</v>
      </c>
      <c r="J7" s="367">
        <v>-2739314.7499999995</v>
      </c>
      <c r="K7" s="440">
        <f t="shared" si="3"/>
        <v>-2.8974701863689019</v>
      </c>
      <c r="L7" s="28">
        <v>1443666.8199999998</v>
      </c>
      <c r="O7" s="360"/>
      <c r="Q7" s="362"/>
      <c r="R7" s="362"/>
      <c r="S7" s="397"/>
      <c r="T7" s="396"/>
      <c r="U7" s="396"/>
      <c r="V7" s="397"/>
      <c r="W7" s="400"/>
      <c r="X7" s="397"/>
      <c r="Y7" s="368"/>
      <c r="Z7" s="361"/>
      <c r="AA7" s="368"/>
      <c r="AB7" s="362"/>
      <c r="AC7" s="368"/>
      <c r="AD7" s="362"/>
      <c r="AE7" s="368"/>
      <c r="AF7" s="362"/>
      <c r="AG7" s="368"/>
      <c r="AH7" s="362"/>
      <c r="AI7" s="368"/>
      <c r="AJ7" s="362"/>
      <c r="AK7" s="368"/>
      <c r="AL7" s="362"/>
      <c r="AM7" s="368"/>
      <c r="AN7" s="362"/>
      <c r="AO7" s="368"/>
      <c r="AP7" s="362"/>
      <c r="AQ7" s="368"/>
      <c r="AR7" s="362"/>
      <c r="AS7" s="368"/>
      <c r="AT7" s="362"/>
      <c r="AU7" s="368"/>
      <c r="AV7" s="362"/>
      <c r="AW7" s="368"/>
      <c r="AX7" s="348"/>
      <c r="AY7" s="348"/>
    </row>
    <row r="8" spans="1:54" ht="27.95" customHeight="1">
      <c r="A8" s="414" t="s">
        <v>143</v>
      </c>
      <c r="B8" s="364">
        <v>-3612239.1600000006</v>
      </c>
      <c r="C8" s="437">
        <f t="shared" si="0"/>
        <v>-1.7293372582244282</v>
      </c>
      <c r="D8" s="62">
        <v>4952769.2699999977</v>
      </c>
      <c r="E8" s="434">
        <f t="shared" si="1"/>
        <v>0.27627036717553199</v>
      </c>
      <c r="F8" s="364">
        <v>3880658.36</v>
      </c>
      <c r="G8" s="437">
        <f t="shared" si="2"/>
        <v>0.25505313237628124</v>
      </c>
      <c r="H8" s="28">
        <v>3092027.1499999953</v>
      </c>
      <c r="I8" s="434">
        <f t="shared" si="2"/>
        <v>-2.117007292797823</v>
      </c>
      <c r="J8" s="367">
        <v>-2768135.1499999994</v>
      </c>
      <c r="K8" s="440">
        <f t="shared" si="3"/>
        <v>-2.236504793176417</v>
      </c>
      <c r="L8" s="28">
        <v>2238677.2499999995</v>
      </c>
      <c r="O8" s="360"/>
      <c r="Q8" s="362"/>
      <c r="R8" s="362"/>
      <c r="S8" s="397"/>
      <c r="T8" s="401"/>
      <c r="U8" s="401"/>
      <c r="V8" s="397"/>
      <c r="W8" s="400"/>
      <c r="X8" s="397"/>
      <c r="Y8" s="368"/>
      <c r="Z8" s="361"/>
      <c r="AA8" s="368"/>
      <c r="AB8" s="362"/>
      <c r="AC8" s="368"/>
      <c r="AD8" s="362"/>
      <c r="AE8" s="368"/>
      <c r="AF8" s="362"/>
      <c r="AG8" s="368"/>
      <c r="AH8" s="362"/>
      <c r="AI8" s="368"/>
      <c r="AJ8" s="362"/>
      <c r="AK8" s="368"/>
      <c r="AL8" s="362"/>
      <c r="AM8" s="368"/>
      <c r="AN8" s="362"/>
      <c r="AO8" s="368"/>
      <c r="AP8" s="362"/>
      <c r="AQ8" s="368"/>
      <c r="AR8" s="362"/>
      <c r="AS8" s="368"/>
      <c r="AT8" s="362"/>
      <c r="AU8" s="368"/>
      <c r="AV8" s="362"/>
      <c r="AW8" s="368"/>
      <c r="AX8" s="348"/>
      <c r="AY8" s="348"/>
    </row>
    <row r="9" spans="1:54" ht="27.95" customHeight="1">
      <c r="A9" s="414" t="s">
        <v>5</v>
      </c>
      <c r="B9" s="369">
        <v>1782008.48</v>
      </c>
      <c r="C9" s="437">
        <f t="shared" si="0"/>
        <v>0.10396354355544779</v>
      </c>
      <c r="D9" s="62">
        <v>1614191.42</v>
      </c>
      <c r="E9" s="434">
        <f t="shared" si="1"/>
        <v>0.14921459713912233</v>
      </c>
      <c r="F9" s="369">
        <v>1404604</v>
      </c>
      <c r="G9" s="437">
        <f t="shared" si="2"/>
        <v>7.503714152433294E-2</v>
      </c>
      <c r="H9" s="28">
        <v>1306563.2300000004</v>
      </c>
      <c r="I9" s="434">
        <f t="shared" si="2"/>
        <v>4.206157377042441E-4</v>
      </c>
      <c r="J9" s="367">
        <v>1306013.8999999999</v>
      </c>
      <c r="K9" s="440">
        <f t="shared" si="3"/>
        <v>4.2756619690238473E-3</v>
      </c>
      <c r="L9" s="28">
        <v>1300453.5999999999</v>
      </c>
      <c r="O9" s="360"/>
      <c r="Q9" s="362"/>
      <c r="R9" s="362"/>
      <c r="S9" s="397"/>
      <c r="T9" s="397"/>
      <c r="U9" s="400"/>
      <c r="V9" s="397"/>
      <c r="W9" s="400"/>
      <c r="X9" s="397"/>
      <c r="Y9" s="368"/>
      <c r="Z9" s="361"/>
      <c r="AA9" s="368"/>
      <c r="AB9" s="362"/>
      <c r="AC9" s="368"/>
      <c r="AD9" s="362"/>
      <c r="AE9" s="368"/>
      <c r="AF9" s="362"/>
      <c r="AG9" s="368"/>
      <c r="AH9" s="362"/>
      <c r="AI9" s="368"/>
      <c r="AJ9" s="362"/>
      <c r="AK9" s="368"/>
      <c r="AL9" s="362"/>
      <c r="AM9" s="368"/>
      <c r="AN9" s="362"/>
      <c r="AO9" s="368"/>
      <c r="AP9" s="362"/>
      <c r="AQ9" s="368"/>
      <c r="AR9" s="362"/>
      <c r="AS9" s="368"/>
      <c r="AT9" s="362"/>
      <c r="AU9" s="368"/>
      <c r="AV9" s="362"/>
      <c r="AW9" s="368"/>
      <c r="AX9" s="348"/>
      <c r="AY9" s="348"/>
    </row>
    <row r="10" spans="1:54" ht="27.95" customHeight="1">
      <c r="A10" s="414" t="s">
        <v>1</v>
      </c>
      <c r="B10" s="370">
        <f>B8+B9</f>
        <v>-1830230.6800000006</v>
      </c>
      <c r="C10" s="437">
        <f t="shared" si="0"/>
        <v>-1.2787028530240832</v>
      </c>
      <c r="D10" s="28">
        <f>D8+D9</f>
        <v>6566960.6899999976</v>
      </c>
      <c r="E10" s="434">
        <f t="shared" si="1"/>
        <v>0.24250420181600951</v>
      </c>
      <c r="F10" s="370">
        <f>F8+F9</f>
        <v>5285262.3599999994</v>
      </c>
      <c r="G10" s="437">
        <f t="shared" si="2"/>
        <v>0.20158093920989417</v>
      </c>
      <c r="H10" s="28">
        <f>H8+H9</f>
        <v>4398590.3799999952</v>
      </c>
      <c r="I10" s="434">
        <f t="shared" si="2"/>
        <v>-4.008362254498385</v>
      </c>
      <c r="J10" s="367">
        <v>-1462121.2499999995</v>
      </c>
      <c r="K10" s="440">
        <f t="shared" si="3"/>
        <v>-1.4131300344546458</v>
      </c>
      <c r="L10" s="28">
        <v>3539130.8499999996</v>
      </c>
      <c r="O10" s="360"/>
      <c r="Q10" s="362"/>
      <c r="R10" s="362"/>
      <c r="S10" s="397"/>
      <c r="T10" s="402"/>
      <c r="U10" s="400"/>
      <c r="V10" s="397"/>
      <c r="W10" s="400"/>
      <c r="X10" s="397"/>
      <c r="Y10" s="368"/>
      <c r="Z10" s="361"/>
      <c r="AA10" s="368"/>
      <c r="AB10" s="362"/>
      <c r="AC10" s="368"/>
      <c r="AD10" s="362"/>
      <c r="AE10" s="368"/>
      <c r="AF10" s="362"/>
      <c r="AG10" s="368"/>
      <c r="AH10" s="362"/>
      <c r="AI10" s="368"/>
      <c r="AJ10" s="362"/>
      <c r="AK10" s="368"/>
      <c r="AL10" s="362"/>
      <c r="AM10" s="368"/>
      <c r="AN10" s="362"/>
      <c r="AO10" s="368"/>
      <c r="AP10" s="362"/>
      <c r="AQ10" s="368"/>
      <c r="AR10" s="362"/>
      <c r="AS10" s="368"/>
      <c r="AT10" s="362"/>
      <c r="AU10" s="368"/>
      <c r="AV10" s="362"/>
      <c r="AW10" s="368"/>
      <c r="AX10" s="348"/>
      <c r="AY10" s="348"/>
    </row>
    <row r="11" spans="1:54" ht="27.95" customHeight="1">
      <c r="A11" s="414" t="s">
        <v>6</v>
      </c>
      <c r="B11" s="369">
        <v>-3865748.7900000005</v>
      </c>
      <c r="C11" s="437">
        <f t="shared" si="0"/>
        <v>-1.8172795088021241</v>
      </c>
      <c r="D11" s="62">
        <v>4730020.4499999974</v>
      </c>
      <c r="E11" s="434">
        <f t="shared" si="1"/>
        <v>0.21570163891036431</v>
      </c>
      <c r="F11" s="369">
        <v>3890774.1</v>
      </c>
      <c r="G11" s="437">
        <f t="shared" si="2"/>
        <v>0.14376344733162405</v>
      </c>
      <c r="H11" s="28">
        <v>3401729.7099999948</v>
      </c>
      <c r="I11" s="434">
        <f t="shared" si="2"/>
        <v>-1.963807001629942</v>
      </c>
      <c r="J11" s="367">
        <v>-3529471.88</v>
      </c>
      <c r="K11" s="440">
        <f t="shared" si="3"/>
        <v>-4.5912810957231951</v>
      </c>
      <c r="L11" s="28">
        <v>982789.08999999962</v>
      </c>
      <c r="O11" s="360"/>
      <c r="Q11" s="362"/>
      <c r="R11" s="362"/>
      <c r="S11" s="397"/>
      <c r="T11" s="403"/>
      <c r="U11" s="400"/>
      <c r="V11" s="397"/>
      <c r="W11" s="400"/>
      <c r="X11" s="397"/>
      <c r="Y11" s="368"/>
      <c r="Z11" s="361"/>
      <c r="AA11" s="368"/>
      <c r="AB11" s="362"/>
      <c r="AC11" s="368"/>
      <c r="AD11" s="362"/>
      <c r="AE11" s="368"/>
      <c r="AF11" s="362"/>
      <c r="AG11" s="368"/>
      <c r="AH11" s="362"/>
      <c r="AI11" s="368"/>
      <c r="AJ11" s="362"/>
      <c r="AK11" s="368"/>
      <c r="AL11" s="362"/>
      <c r="AM11" s="368"/>
      <c r="AN11" s="362"/>
      <c r="AO11" s="368"/>
      <c r="AP11" s="362"/>
      <c r="AQ11" s="368"/>
      <c r="AR11" s="362"/>
      <c r="AS11" s="368"/>
      <c r="AT11" s="362"/>
      <c r="AU11" s="368"/>
      <c r="AV11" s="362"/>
      <c r="AW11" s="368"/>
      <c r="AX11" s="348"/>
      <c r="AY11" s="348"/>
    </row>
    <row r="12" spans="1:54" ht="27.95" customHeight="1">
      <c r="A12" s="414" t="s">
        <v>7</v>
      </c>
      <c r="B12" s="364">
        <v>-3030346.0300000003</v>
      </c>
      <c r="C12" s="437">
        <f t="shared" si="0"/>
        <v>-1.8654875567901392</v>
      </c>
      <c r="D12" s="62">
        <v>3501316.6927999975</v>
      </c>
      <c r="E12" s="434">
        <f t="shared" si="1"/>
        <v>0.18378489215367955</v>
      </c>
      <c r="F12" s="364">
        <v>2957730.51</v>
      </c>
      <c r="G12" s="437">
        <f t="shared" si="2"/>
        <v>0.13666633602470424</v>
      </c>
      <c r="H12" s="28">
        <v>2602109.7099999948</v>
      </c>
      <c r="I12" s="434">
        <f t="shared" si="2"/>
        <v>-1.6861915686761184</v>
      </c>
      <c r="J12" s="367">
        <v>-3792103.88</v>
      </c>
      <c r="K12" s="440">
        <f t="shared" si="3"/>
        <v>-5.2702521718654207</v>
      </c>
      <c r="L12" s="28">
        <v>888028.08999999962</v>
      </c>
      <c r="O12" s="360"/>
      <c r="Q12" s="362"/>
      <c r="R12" s="362"/>
      <c r="S12" s="397"/>
      <c r="T12" s="403"/>
      <c r="U12" s="400"/>
      <c r="V12" s="397"/>
      <c r="W12" s="400"/>
      <c r="X12" s="397"/>
      <c r="Y12" s="368"/>
      <c r="Z12" s="361"/>
      <c r="AA12" s="368"/>
      <c r="AB12" s="362"/>
      <c r="AC12" s="368"/>
      <c r="AD12" s="362"/>
      <c r="AE12" s="368"/>
      <c r="AF12" s="362"/>
      <c r="AG12" s="368"/>
      <c r="AH12" s="362"/>
      <c r="AI12" s="368"/>
      <c r="AJ12" s="362"/>
      <c r="AK12" s="368"/>
      <c r="AL12" s="362"/>
      <c r="AM12" s="368"/>
      <c r="AN12" s="362"/>
      <c r="AO12" s="368"/>
      <c r="AP12" s="362"/>
      <c r="AQ12" s="368"/>
      <c r="AR12" s="362"/>
      <c r="AS12" s="368"/>
      <c r="AT12" s="362"/>
      <c r="AU12" s="368"/>
      <c r="AV12" s="362"/>
      <c r="AW12" s="368"/>
      <c r="AX12" s="348"/>
      <c r="AY12" s="348"/>
    </row>
    <row r="13" spans="1:54" ht="27.95" customHeight="1">
      <c r="A13" s="414"/>
      <c r="B13" s="364"/>
      <c r="C13" s="437"/>
      <c r="D13" s="62"/>
      <c r="E13" s="434"/>
      <c r="F13" s="364"/>
      <c r="G13" s="437"/>
      <c r="H13" s="28"/>
      <c r="I13" s="434"/>
      <c r="J13" s="367"/>
      <c r="K13" s="440"/>
      <c r="L13" s="28"/>
      <c r="O13" s="360"/>
      <c r="Q13" s="362"/>
      <c r="R13" s="362"/>
      <c r="S13" s="397"/>
      <c r="T13" s="403"/>
      <c r="U13" s="400"/>
      <c r="V13" s="397"/>
      <c r="W13" s="400"/>
      <c r="X13" s="397"/>
      <c r="Y13" s="368"/>
      <c r="Z13" s="361"/>
      <c r="AA13" s="368"/>
      <c r="AB13" s="362"/>
      <c r="AC13" s="368"/>
      <c r="AD13" s="362"/>
      <c r="AE13" s="368"/>
      <c r="AF13" s="362"/>
      <c r="AG13" s="368"/>
      <c r="AH13" s="362"/>
      <c r="AI13" s="368"/>
      <c r="AJ13" s="362"/>
      <c r="AK13" s="368"/>
      <c r="AL13" s="362"/>
      <c r="AM13" s="368"/>
      <c r="AN13" s="362"/>
      <c r="AO13" s="368"/>
      <c r="AP13" s="362"/>
      <c r="AQ13" s="368"/>
      <c r="AR13" s="362"/>
      <c r="AS13" s="368"/>
      <c r="AT13" s="362"/>
      <c r="AU13" s="368"/>
      <c r="AV13" s="362"/>
      <c r="AW13" s="368"/>
      <c r="AX13" s="348"/>
      <c r="AY13" s="348"/>
    </row>
    <row r="14" spans="1:54" ht="27.95" customHeight="1">
      <c r="A14" s="414" t="s">
        <v>8</v>
      </c>
      <c r="B14" s="364">
        <v>199431209.44</v>
      </c>
      <c r="C14" s="437">
        <f t="shared" ref="C14:C19" si="4">(B14/D14)-1</f>
        <v>4.9172856256829434E-5</v>
      </c>
      <c r="D14" s="62">
        <v>199421403.31999999</v>
      </c>
      <c r="E14" s="434">
        <f t="shared" ref="E14:E19" si="5">(D14/F14)-1</f>
        <v>3.7972997456359847E-2</v>
      </c>
      <c r="F14" s="364">
        <v>192125810.41</v>
      </c>
      <c r="G14" s="437">
        <f t="shared" si="2"/>
        <v>2.1277840018015803E-2</v>
      </c>
      <c r="H14" s="28">
        <v>188122960.15999997</v>
      </c>
      <c r="I14" s="434">
        <f t="shared" si="2"/>
        <v>2.1384771471358199E-2</v>
      </c>
      <c r="J14" s="367">
        <v>184184222.64999998</v>
      </c>
      <c r="K14" s="440">
        <f t="shared" si="3"/>
        <v>-1.3864756394183941E-2</v>
      </c>
      <c r="L14" s="28">
        <v>186773795.82999998</v>
      </c>
      <c r="O14" s="360"/>
      <c r="Q14" s="362"/>
      <c r="R14" s="362"/>
      <c r="S14" s="397"/>
      <c r="T14" s="397"/>
      <c r="U14" s="400"/>
      <c r="V14" s="397"/>
      <c r="W14" s="400"/>
      <c r="X14" s="397"/>
      <c r="Y14" s="368"/>
      <c r="Z14" s="361"/>
      <c r="AA14" s="368"/>
      <c r="AB14" s="362"/>
      <c r="AC14" s="368"/>
      <c r="AD14" s="362"/>
      <c r="AE14" s="368"/>
      <c r="AF14" s="362"/>
      <c r="AG14" s="368"/>
      <c r="AH14" s="362"/>
      <c r="AI14" s="368"/>
      <c r="AJ14" s="362"/>
      <c r="AK14" s="368"/>
      <c r="AL14" s="362"/>
      <c r="AM14" s="368"/>
      <c r="AN14" s="362"/>
      <c r="AO14" s="368"/>
      <c r="AP14" s="362"/>
      <c r="AQ14" s="368"/>
      <c r="AR14" s="362"/>
      <c r="AS14" s="368"/>
      <c r="AT14" s="362"/>
      <c r="AU14" s="368"/>
      <c r="AV14" s="362"/>
      <c r="AW14" s="368"/>
      <c r="AX14" s="348"/>
      <c r="AY14" s="348"/>
    </row>
    <row r="15" spans="1:54" ht="27.95" customHeight="1">
      <c r="A15" s="415" t="s">
        <v>9</v>
      </c>
      <c r="B15" s="364">
        <v>174471483.31999999</v>
      </c>
      <c r="C15" s="437">
        <f t="shared" si="4"/>
        <v>4.1267481637230041E-2</v>
      </c>
      <c r="D15" s="62">
        <v>167556834.72</v>
      </c>
      <c r="E15" s="434">
        <f t="shared" si="5"/>
        <v>7.5234394809153837E-3</v>
      </c>
      <c r="F15" s="364">
        <v>166305644.27000001</v>
      </c>
      <c r="G15" s="437">
        <f t="shared" si="2"/>
        <v>5.7907598538164962E-4</v>
      </c>
      <c r="H15" s="28">
        <v>166209396.39999998</v>
      </c>
      <c r="I15" s="434">
        <f t="shared" si="2"/>
        <v>8.268354535221123E-3</v>
      </c>
      <c r="J15" s="367">
        <v>164846388.01999998</v>
      </c>
      <c r="K15" s="440">
        <f t="shared" si="3"/>
        <v>-1.008974910754934E-2</v>
      </c>
      <c r="L15" s="28">
        <v>166526599.63</v>
      </c>
      <c r="O15" s="360"/>
      <c r="Q15" s="362"/>
      <c r="R15" s="362"/>
      <c r="S15" s="397"/>
      <c r="T15" s="397"/>
      <c r="U15" s="400"/>
      <c r="V15" s="397"/>
      <c r="W15" s="400"/>
      <c r="X15" s="397"/>
      <c r="Y15" s="368"/>
      <c r="Z15" s="361"/>
      <c r="AA15" s="368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48"/>
      <c r="AY15" s="348"/>
    </row>
    <row r="16" spans="1:54" ht="27.95" customHeight="1">
      <c r="A16" s="414" t="s">
        <v>10</v>
      </c>
      <c r="B16" s="364">
        <v>24959726.120000005</v>
      </c>
      <c r="C16" s="437">
        <f t="shared" si="4"/>
        <v>-0.21669342418149029</v>
      </c>
      <c r="D16" s="62">
        <v>31864568.600000001</v>
      </c>
      <c r="E16" s="434">
        <f t="shared" si="5"/>
        <v>0.23409618773274099</v>
      </c>
      <c r="F16" s="364">
        <v>25820166.140000001</v>
      </c>
      <c r="G16" s="437">
        <f t="shared" si="2"/>
        <v>0.17827325681872574</v>
      </c>
      <c r="H16" s="28">
        <v>21913563.759999998</v>
      </c>
      <c r="I16" s="434">
        <f t="shared" si="2"/>
        <v>0.13319635725936463</v>
      </c>
      <c r="J16" s="367">
        <v>19337834.630000003</v>
      </c>
      <c r="K16" s="440">
        <f t="shared" si="3"/>
        <v>-4.4912962813092983E-2</v>
      </c>
      <c r="L16" s="28">
        <v>20247196.199999999</v>
      </c>
      <c r="O16" s="360"/>
      <c r="Q16" s="362"/>
      <c r="R16" s="362"/>
      <c r="S16" s="397"/>
      <c r="T16" s="397"/>
      <c r="U16" s="400"/>
      <c r="V16" s="397"/>
      <c r="W16" s="400"/>
      <c r="X16" s="397"/>
      <c r="Y16" s="368"/>
      <c r="Z16" s="361"/>
      <c r="AA16" s="368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48"/>
      <c r="AY16" s="348"/>
    </row>
    <row r="17" spans="1:71" ht="27.95" customHeight="1">
      <c r="A17" s="414" t="s">
        <v>11</v>
      </c>
      <c r="B17" s="364">
        <v>169298082.03999999</v>
      </c>
      <c r="C17" s="437">
        <f t="shared" si="4"/>
        <v>-2.3367434007507293E-2</v>
      </c>
      <c r="D17" s="62">
        <v>173348798.65279996</v>
      </c>
      <c r="E17" s="434">
        <f t="shared" si="5"/>
        <v>2.4091046319737908E-2</v>
      </c>
      <c r="F17" s="364">
        <v>169270885.90000001</v>
      </c>
      <c r="G17" s="437">
        <f t="shared" si="2"/>
        <v>1.4043193102445839E-2</v>
      </c>
      <c r="H17" s="28">
        <v>166926701.99000001</v>
      </c>
      <c r="I17" s="434">
        <f t="shared" si="2"/>
        <v>1.9740175105582125E-2</v>
      </c>
      <c r="J17" s="367">
        <v>163695327.56</v>
      </c>
      <c r="K17" s="440">
        <f t="shared" si="3"/>
        <v>-4.6527127774999011E-3</v>
      </c>
      <c r="L17" s="28">
        <v>164460515.09999999</v>
      </c>
      <c r="O17" s="360"/>
      <c r="Q17" s="362"/>
      <c r="R17" s="362"/>
      <c r="S17" s="397"/>
      <c r="T17" s="397"/>
      <c r="U17" s="400"/>
      <c r="V17" s="397"/>
      <c r="W17" s="400"/>
      <c r="X17" s="397"/>
      <c r="Y17" s="368"/>
      <c r="Z17" s="361"/>
      <c r="AA17" s="368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48"/>
      <c r="AY17" s="348"/>
    </row>
    <row r="18" spans="1:71" ht="27.95" customHeight="1">
      <c r="A18" s="414" t="s">
        <v>12</v>
      </c>
      <c r="B18" s="364">
        <v>5669883.7899999991</v>
      </c>
      <c r="C18" s="437">
        <f t="shared" si="4"/>
        <v>8.023761824691733E-2</v>
      </c>
      <c r="D18" s="62">
        <v>5248737.5872</v>
      </c>
      <c r="E18" s="434">
        <f t="shared" si="5"/>
        <v>-0.22795557914706288</v>
      </c>
      <c r="F18" s="364">
        <v>6798491.7000000002</v>
      </c>
      <c r="G18" s="437">
        <f t="shared" si="2"/>
        <v>-0.14487780108362991</v>
      </c>
      <c r="H18" s="28">
        <v>7950316</v>
      </c>
      <c r="I18" s="434">
        <f t="shared" si="2"/>
        <v>-9.2296297658241766E-2</v>
      </c>
      <c r="J18" s="367">
        <v>8758712.7599999998</v>
      </c>
      <c r="K18" s="440">
        <f t="shared" si="3"/>
        <v>-0.16365467902680375</v>
      </c>
      <c r="L18" s="28">
        <v>10472603.289999999</v>
      </c>
      <c r="O18" s="360"/>
      <c r="Q18" s="362"/>
      <c r="R18" s="362"/>
      <c r="S18" s="362"/>
      <c r="T18" s="362"/>
      <c r="U18" s="368"/>
      <c r="V18" s="362"/>
      <c r="W18" s="368"/>
      <c r="X18" s="362"/>
      <c r="Y18" s="368"/>
      <c r="Z18" s="361"/>
      <c r="AA18" s="368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48"/>
      <c r="AY18" s="348"/>
    </row>
    <row r="19" spans="1:71" ht="27.95" customHeight="1">
      <c r="A19" s="414" t="s">
        <v>13</v>
      </c>
      <c r="B19" s="364">
        <v>24463243.609999999</v>
      </c>
      <c r="C19" s="437">
        <f t="shared" si="4"/>
        <v>0.17476948522666036</v>
      </c>
      <c r="D19" s="62">
        <v>20823867.080000002</v>
      </c>
      <c r="E19" s="434">
        <f t="shared" si="5"/>
        <v>0.29691739917666071</v>
      </c>
      <c r="F19" s="364">
        <v>16056432.810000001</v>
      </c>
      <c r="G19" s="437">
        <f t="shared" si="2"/>
        <v>0.21217748076579435</v>
      </c>
      <c r="H19" s="28">
        <v>13245942.17</v>
      </c>
      <c r="I19" s="434">
        <f t="shared" si="2"/>
        <v>0.12921877915941993</v>
      </c>
      <c r="J19" s="367">
        <v>11730182.33</v>
      </c>
      <c r="K19" s="440">
        <f t="shared" si="3"/>
        <v>-9.3318233318921973E-3</v>
      </c>
      <c r="L19" s="28">
        <v>11840677.440000001</v>
      </c>
      <c r="O19" s="360"/>
      <c r="Q19" s="362"/>
      <c r="R19" s="362"/>
      <c r="S19" s="362"/>
      <c r="T19" s="362"/>
      <c r="U19" s="368"/>
      <c r="V19" s="362"/>
      <c r="W19" s="368"/>
      <c r="X19" s="362"/>
      <c r="Y19" s="368"/>
      <c r="Z19" s="361"/>
      <c r="AA19" s="368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48"/>
      <c r="AY19" s="348"/>
    </row>
    <row r="20" spans="1:71" ht="27.95" customHeight="1">
      <c r="F20" s="212"/>
      <c r="R20" s="362"/>
      <c r="S20" s="362"/>
      <c r="T20" s="362"/>
      <c r="U20" s="368"/>
      <c r="V20" s="361"/>
      <c r="W20" s="368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48"/>
      <c r="AU20" s="348"/>
    </row>
    <row r="21" spans="1:71" ht="48" customHeight="1">
      <c r="A21" s="459" t="s">
        <v>145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349"/>
      <c r="N21" s="371"/>
      <c r="O21" s="371"/>
      <c r="P21" s="371"/>
      <c r="Q21" s="371"/>
      <c r="R21" s="362"/>
      <c r="S21" s="362"/>
      <c r="T21" s="362"/>
      <c r="U21" s="368"/>
      <c r="V21" s="361"/>
      <c r="W21" s="368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48"/>
      <c r="AU21" s="348"/>
    </row>
    <row r="22" spans="1:71" ht="27.95" customHeight="1">
      <c r="A22" s="412"/>
      <c r="B22" s="278" t="s">
        <v>215</v>
      </c>
      <c r="C22" s="455" t="s">
        <v>116</v>
      </c>
      <c r="D22" s="22" t="s">
        <v>212</v>
      </c>
      <c r="E22" s="350" t="s">
        <v>116</v>
      </c>
      <c r="F22" s="278" t="s">
        <v>211</v>
      </c>
      <c r="G22" s="417" t="s">
        <v>116</v>
      </c>
      <c r="H22" s="22">
        <v>2017</v>
      </c>
      <c r="I22" s="350" t="s">
        <v>116</v>
      </c>
      <c r="J22" s="278" t="s">
        <v>207</v>
      </c>
      <c r="K22" s="399" t="s">
        <v>116</v>
      </c>
      <c r="L22" s="22" t="s">
        <v>201</v>
      </c>
      <c r="M22" s="350" t="s">
        <v>116</v>
      </c>
      <c r="N22" s="278" t="s">
        <v>199</v>
      </c>
      <c r="O22" s="417" t="s">
        <v>116</v>
      </c>
      <c r="P22" s="22">
        <v>2016</v>
      </c>
      <c r="Q22" s="278" t="s">
        <v>195</v>
      </c>
      <c r="R22" s="22" t="s">
        <v>193</v>
      </c>
      <c r="S22" s="278" t="s">
        <v>191</v>
      </c>
      <c r="T22" s="22" t="s">
        <v>189</v>
      </c>
      <c r="U22" s="278" t="s">
        <v>187</v>
      </c>
      <c r="V22" s="22" t="s">
        <v>183</v>
      </c>
      <c r="W22" s="418" t="s">
        <v>163</v>
      </c>
      <c r="X22" s="22" t="s">
        <v>117</v>
      </c>
      <c r="Y22" s="278" t="s">
        <v>14</v>
      </c>
      <c r="Z22" s="22" t="s">
        <v>15</v>
      </c>
      <c r="AA22" s="418" t="s">
        <v>16</v>
      </c>
      <c r="AB22" s="22" t="s">
        <v>17</v>
      </c>
      <c r="AC22" s="278" t="s">
        <v>18</v>
      </c>
      <c r="AD22" s="22" t="s">
        <v>19</v>
      </c>
      <c r="AE22" s="418" t="s">
        <v>20</v>
      </c>
      <c r="AF22" s="22" t="s">
        <v>21</v>
      </c>
      <c r="AG22" s="278" t="s">
        <v>22</v>
      </c>
      <c r="AH22" s="22" t="s">
        <v>23</v>
      </c>
      <c r="AI22" s="278" t="s">
        <v>24</v>
      </c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</row>
    <row r="23" spans="1:71" ht="27.95" customHeight="1">
      <c r="A23" s="413" t="s">
        <v>2</v>
      </c>
      <c r="B23" s="411">
        <v>17313384.350000001</v>
      </c>
      <c r="C23" s="474">
        <f>(B23/J23)-1</f>
        <v>8.0441466008787987E-2</v>
      </c>
      <c r="D23" s="373">
        <v>10758824.109999999</v>
      </c>
      <c r="E23" s="358">
        <f>(D23/L23)-1</f>
        <v>3.9547767356355346E-2</v>
      </c>
      <c r="F23" s="411">
        <v>4776697.0199999996</v>
      </c>
      <c r="G23" s="419">
        <f>(F23/N23)-1</f>
        <v>2.4007122036467266E-2</v>
      </c>
      <c r="H23" s="373">
        <f>B5</f>
        <v>44350628.240000002</v>
      </c>
      <c r="I23" s="358">
        <f>(H23/P23)-1</f>
        <v>-0.32402259863018534</v>
      </c>
      <c r="J23" s="420">
        <v>16024361.24</v>
      </c>
      <c r="K23" s="356">
        <f>(J23/Q23)-1</f>
        <v>-0.5267122981317176</v>
      </c>
      <c r="L23" s="373">
        <f>[2]RZIS!B6</f>
        <v>10349523.560000001</v>
      </c>
      <c r="M23" s="358">
        <f>(L23/R23)-1</f>
        <v>-0.61876198493906431</v>
      </c>
      <c r="N23" s="411">
        <v>4664710.74</v>
      </c>
      <c r="O23" s="419">
        <f>(N23/S23)-1</f>
        <v>-0.43935625982798665</v>
      </c>
      <c r="P23" s="373">
        <v>65609631.549999997</v>
      </c>
      <c r="Q23" s="420">
        <f>[2]RZIS!E6</f>
        <v>33857548.329999998</v>
      </c>
      <c r="R23" s="373">
        <v>27147144.699999999</v>
      </c>
      <c r="S23" s="411">
        <f>[2]RZIS!G6</f>
        <v>8320276.1500000004</v>
      </c>
      <c r="T23" s="373">
        <f>[2]RZIS!H6</f>
        <v>52280493.030000001</v>
      </c>
      <c r="U23" s="420">
        <f>[2]RZIS!I6</f>
        <v>26302900.109999999</v>
      </c>
      <c r="V23" s="373">
        <f>[2]RZIS!J6</f>
        <v>17827753.559999999</v>
      </c>
      <c r="W23" s="411">
        <v>7515272.7000000002</v>
      </c>
      <c r="X23" s="427">
        <v>41128470.630000003</v>
      </c>
      <c r="Y23" s="420">
        <v>17710345.739999998</v>
      </c>
      <c r="Z23" s="357">
        <v>5834928.3399999999</v>
      </c>
      <c r="AA23" s="431">
        <v>2770085.85</v>
      </c>
      <c r="AB23" s="357">
        <v>31171994.350000001</v>
      </c>
      <c r="AC23" s="420">
        <v>12931300.16</v>
      </c>
      <c r="AD23" s="357">
        <v>9430252.8900000006</v>
      </c>
      <c r="AE23" s="421">
        <v>3884552.59</v>
      </c>
      <c r="AF23" s="357">
        <v>31107807.739999998</v>
      </c>
      <c r="AG23" s="420">
        <v>14003232.59</v>
      </c>
      <c r="AH23" s="357">
        <v>7623549.7199999997</v>
      </c>
      <c r="AI23" s="420">
        <v>3371233.83</v>
      </c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</row>
    <row r="24" spans="1:71" ht="27.95" customHeight="1">
      <c r="A24" s="414" t="s">
        <v>3</v>
      </c>
      <c r="B24" s="369">
        <v>-1134135.6499999999</v>
      </c>
      <c r="C24" s="475">
        <f>(B24/J24)-1</f>
        <v>-1.3617731303621368</v>
      </c>
      <c r="D24" s="62">
        <v>-718938.66</v>
      </c>
      <c r="E24" s="366">
        <f>(D24/L24)-1</f>
        <v>-1.9342416565686755</v>
      </c>
      <c r="F24" s="369">
        <v>-377662.22000000067</v>
      </c>
      <c r="G24" s="422">
        <f t="shared" ref="G24:G30" si="6">(F24/N24)-1</f>
        <v>-1.6168693585496388</v>
      </c>
      <c r="H24" s="62">
        <f>B6</f>
        <v>8197269.4699999988</v>
      </c>
      <c r="I24" s="366">
        <f>(H24/P24)-1</f>
        <v>-0.51796421765430811</v>
      </c>
      <c r="J24" s="370">
        <v>3134936.1099999994</v>
      </c>
      <c r="K24" s="365">
        <f>(J24/Q24)-1</f>
        <v>-0.61654781520705204</v>
      </c>
      <c r="L24" s="62">
        <v>769542.5</v>
      </c>
      <c r="M24" s="366">
        <f>(L24/R24)-1</f>
        <v>-0.89678202476161595</v>
      </c>
      <c r="N24" s="369">
        <v>612223.99000000022</v>
      </c>
      <c r="O24" s="422">
        <f>(N24/S24)-1</f>
        <v>-0.68342880943492024</v>
      </c>
      <c r="P24" s="62">
        <v>17005520.689999998</v>
      </c>
      <c r="Q24" s="370">
        <f>[2]RZIS!E8</f>
        <v>8175559.3899999969</v>
      </c>
      <c r="R24" s="62">
        <v>7455508.5800000001</v>
      </c>
      <c r="S24" s="369">
        <f>[2]RZIS!G8</f>
        <v>1933922</v>
      </c>
      <c r="T24" s="62">
        <f>[2]RZIS!H8</f>
        <v>11128411.859999999</v>
      </c>
      <c r="U24" s="370">
        <f>[2]RZIS!I8</f>
        <v>4416049.1400000006</v>
      </c>
      <c r="V24" s="62">
        <f>[2]RZIS!J8</f>
        <v>1576783.7</v>
      </c>
      <c r="W24" s="369">
        <v>498800.60000000056</v>
      </c>
      <c r="X24" s="428">
        <v>9435259.6100000031</v>
      </c>
      <c r="Y24" s="370">
        <v>4160689.6799999978</v>
      </c>
      <c r="Z24" s="28">
        <v>1204613.3900000006</v>
      </c>
      <c r="AA24" s="424">
        <v>312729.4700000002</v>
      </c>
      <c r="AB24" s="28">
        <v>3661111.2300000004</v>
      </c>
      <c r="AC24" s="370">
        <v>1219555.6999999993</v>
      </c>
      <c r="AD24" s="28">
        <v>959617.30000000075</v>
      </c>
      <c r="AE24" s="423">
        <v>526565.71</v>
      </c>
      <c r="AF24" s="28">
        <v>7161372.6600000001</v>
      </c>
      <c r="AG24" s="370">
        <v>1610942.67</v>
      </c>
      <c r="AH24" s="28">
        <v>24880.679999999702</v>
      </c>
      <c r="AI24" s="370">
        <v>-471281.43999999994</v>
      </c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</row>
    <row r="25" spans="1:71" ht="27.95" customHeight="1">
      <c r="A25" s="414" t="s">
        <v>4</v>
      </c>
      <c r="B25" s="369">
        <v>-7256685.21</v>
      </c>
      <c r="C25" s="475">
        <f t="shared" ref="C25:C37" si="7">(B25/J25)-1</f>
        <v>1.1688389431031152</v>
      </c>
      <c r="D25" s="62">
        <v>-4569443.45</v>
      </c>
      <c r="E25" s="366">
        <f t="shared" ref="E25:E30" si="8">(D25/L25)-1</f>
        <v>0.42170006729847365</v>
      </c>
      <c r="F25" s="369">
        <v>-2255905.9400000004</v>
      </c>
      <c r="G25" s="422">
        <f t="shared" si="6"/>
        <v>0.80749921992260054</v>
      </c>
      <c r="H25" s="62">
        <f>B7</f>
        <v>-1976825.5200000005</v>
      </c>
      <c r="I25" s="366">
        <f t="shared" ref="I25:I30" si="9">(H25/P25)-1</f>
        <v>-1.2728019327375499</v>
      </c>
      <c r="J25" s="370">
        <v>-3345884.7800000003</v>
      </c>
      <c r="K25" s="365">
        <f>(J25/Q25)-1</f>
        <v>-2.8880208546702315</v>
      </c>
      <c r="L25" s="62">
        <f>[2]RZIS!B11</f>
        <v>-3214069.9399999995</v>
      </c>
      <c r="M25" s="366">
        <f>(L25/R25)-1</f>
        <v>-1.997475294139101</v>
      </c>
      <c r="N25" s="369">
        <v>-1248081.2799999998</v>
      </c>
      <c r="O25" s="422">
        <f>(N25/S25)-1</f>
        <v>-7.4050267974924502</v>
      </c>
      <c r="P25" s="62">
        <v>7246376.5199999977</v>
      </c>
      <c r="Q25" s="370">
        <f>[2]RZIS!E11</f>
        <v>1772165.1599999964</v>
      </c>
      <c r="R25" s="62">
        <v>3222205.06</v>
      </c>
      <c r="S25" s="369">
        <f>[2]RZIS!G11</f>
        <v>194859.65000000002</v>
      </c>
      <c r="T25" s="62">
        <f>[2]RZIS!H11</f>
        <v>3362367.15</v>
      </c>
      <c r="U25" s="370">
        <f>[2]RZIS!I11</f>
        <v>-866552.29999999935</v>
      </c>
      <c r="V25" s="62">
        <f>[2]RZIS!J11</f>
        <v>-1716708.19</v>
      </c>
      <c r="W25" s="369">
        <v>-1097435.4999999995</v>
      </c>
      <c r="X25" s="428">
        <v>2114222.510000003</v>
      </c>
      <c r="Y25" s="370">
        <v>-714412.19000000227</v>
      </c>
      <c r="Z25" s="28">
        <v>-1616676.5899999996</v>
      </c>
      <c r="AA25" s="424">
        <v>-1054029.8499999996</v>
      </c>
      <c r="AB25" s="28">
        <v>-2739314.7499999995</v>
      </c>
      <c r="AC25" s="370">
        <v>-3541016.6100000008</v>
      </c>
      <c r="AD25" s="28">
        <v>-2152586.7399999993</v>
      </c>
      <c r="AE25" s="423">
        <v>-823547.90000000014</v>
      </c>
      <c r="AF25" s="28">
        <v>1443666.8199999998</v>
      </c>
      <c r="AG25" s="370">
        <v>-2635903.2200000002</v>
      </c>
      <c r="AH25" s="28">
        <v>-2778734.99</v>
      </c>
      <c r="AI25" s="370">
        <v>-2006752.75</v>
      </c>
      <c r="AJ25" s="353"/>
      <c r="AK25" s="353"/>
      <c r="AL25" s="353"/>
      <c r="AM25" s="353"/>
      <c r="AN25" s="353"/>
      <c r="AO25" s="353"/>
      <c r="AP25" s="353"/>
      <c r="AQ25" s="353"/>
      <c r="AR25" s="353"/>
      <c r="AS25" s="354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4"/>
      <c r="BR25" s="348"/>
      <c r="BS25" s="348"/>
    </row>
    <row r="26" spans="1:71" ht="27.95" customHeight="1">
      <c r="A26" s="414" t="s">
        <v>144</v>
      </c>
      <c r="B26" s="369">
        <v>-6769178.2800000003</v>
      </c>
      <c r="C26" s="475">
        <f t="shared" si="7"/>
        <v>0.52363959673903149</v>
      </c>
      <c r="D26" s="62">
        <v>-4447863.3499999996</v>
      </c>
      <c r="E26" s="366">
        <f t="shared" si="8"/>
        <v>2.7255697752466723E-2</v>
      </c>
      <c r="F26" s="369">
        <v>-2172728.0000000005</v>
      </c>
      <c r="G26" s="422">
        <f t="shared" si="6"/>
        <v>0.59764352712261148</v>
      </c>
      <c r="H26" s="62">
        <f>B8</f>
        <v>-3612239.1600000006</v>
      </c>
      <c r="I26" s="366">
        <f t="shared" si="9"/>
        <v>-1.7293372582244282</v>
      </c>
      <c r="J26" s="370">
        <v>-4442768.6800000006</v>
      </c>
      <c r="K26" s="365">
        <f>(J26/Q26)-1</f>
        <v>-4.1385400021886944</v>
      </c>
      <c r="L26" s="62">
        <f>[2]RZIS!B14</f>
        <v>-4329850.26</v>
      </c>
      <c r="M26" s="366">
        <f>(L26/R26)-1</f>
        <v>-2.4746282909933219</v>
      </c>
      <c r="N26" s="369">
        <v>-1359957.9399999997</v>
      </c>
      <c r="O26" s="422">
        <f>(N26/S26)-1</f>
        <v>-31.201736964493843</v>
      </c>
      <c r="P26" s="62">
        <v>4952769.2699999977</v>
      </c>
      <c r="Q26" s="370">
        <f>[2]RZIS!E14</f>
        <v>1415552.6699999964</v>
      </c>
      <c r="R26" s="62">
        <f>[2]RZIS!F14</f>
        <v>2936231.649999998</v>
      </c>
      <c r="S26" s="369">
        <f>[2]RZIS!G14</f>
        <v>45029.130000000034</v>
      </c>
      <c r="T26" s="62">
        <f>[2]RZIS!H14</f>
        <v>3824578.2299999995</v>
      </c>
      <c r="U26" s="370">
        <f>[2]RZIS!I14</f>
        <v>-653828.57999999938</v>
      </c>
      <c r="V26" s="62">
        <f>[2]RZIS!J14</f>
        <v>-1520029.08</v>
      </c>
      <c r="W26" s="369">
        <v>-1088697.9299999997</v>
      </c>
      <c r="X26" s="428">
        <v>2991572.7500000028</v>
      </c>
      <c r="Y26" s="370">
        <v>-49274.700000002282</v>
      </c>
      <c r="Z26" s="28">
        <v>-949785.74999999965</v>
      </c>
      <c r="AA26" s="424">
        <v>-397819.9499999996</v>
      </c>
      <c r="AB26" s="28">
        <v>-2768135.1499999994</v>
      </c>
      <c r="AC26" s="370">
        <v>-2615354.080000001</v>
      </c>
      <c r="AD26" s="28">
        <v>-2234305.6799999992</v>
      </c>
      <c r="AE26" s="423">
        <v>-753959.83000000019</v>
      </c>
      <c r="AF26" s="28">
        <v>2238677.2499999995</v>
      </c>
      <c r="AG26" s="370">
        <v>-2312028.3200000003</v>
      </c>
      <c r="AH26" s="28">
        <v>-2842713.21</v>
      </c>
      <c r="AI26" s="370">
        <v>-2054945.98</v>
      </c>
      <c r="AJ26" s="363"/>
      <c r="AK26" s="363"/>
      <c r="AL26" s="363"/>
      <c r="AM26" s="363"/>
      <c r="AN26" s="363"/>
      <c r="AO26" s="363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</row>
    <row r="27" spans="1:71" ht="27.95" customHeight="1">
      <c r="A27" s="414" t="s">
        <v>5</v>
      </c>
      <c r="B27" s="369">
        <v>1464662.98</v>
      </c>
      <c r="C27" s="475">
        <f t="shared" si="7"/>
        <v>0.122072886815485</v>
      </c>
      <c r="D27" s="62">
        <v>978240.74</v>
      </c>
      <c r="E27" s="366">
        <f t="shared" si="8"/>
        <v>0.17650146008430401</v>
      </c>
      <c r="F27" s="369">
        <v>478250.29</v>
      </c>
      <c r="G27" s="422">
        <f t="shared" si="6"/>
        <v>0.17440608607437369</v>
      </c>
      <c r="H27" s="62">
        <f>B9</f>
        <v>1782008.48</v>
      </c>
      <c r="I27" s="366">
        <f t="shared" si="9"/>
        <v>0.10396354355544779</v>
      </c>
      <c r="J27" s="370">
        <v>1305318.93</v>
      </c>
      <c r="K27" s="365">
        <f>(J27/Q27)-1</f>
        <v>9.2480355767308398E-2</v>
      </c>
      <c r="L27" s="62">
        <v>831482.81</v>
      </c>
      <c r="M27" s="366">
        <f>(L27/R27)-1</f>
        <v>4.7810720264101825E-2</v>
      </c>
      <c r="N27" s="369">
        <v>407227.36</v>
      </c>
      <c r="O27" s="422">
        <f>(N27/S27)-1</f>
        <v>3.0611900140720127E-2</v>
      </c>
      <c r="P27" s="62">
        <v>1614191.42</v>
      </c>
      <c r="Q27" s="370">
        <f>[2]PP!E9</f>
        <v>1194821.4199999995</v>
      </c>
      <c r="R27" s="62">
        <f>[2]PP!F9</f>
        <v>793542.95</v>
      </c>
      <c r="S27" s="369">
        <f>[2]PP!G9</f>
        <v>395131.63</v>
      </c>
      <c r="T27" s="62">
        <v>1404604</v>
      </c>
      <c r="U27" s="370">
        <v>988203.46</v>
      </c>
      <c r="V27" s="62">
        <v>658554.93000000005</v>
      </c>
      <c r="W27" s="369">
        <v>329563.56000000006</v>
      </c>
      <c r="X27" s="428">
        <v>1306563.23</v>
      </c>
      <c r="Y27" s="370">
        <v>969739.7300000008</v>
      </c>
      <c r="Z27" s="28">
        <v>660843.83000000007</v>
      </c>
      <c r="AA27" s="424">
        <v>333051.08</v>
      </c>
      <c r="AB27" s="28">
        <v>1306013.8999999999</v>
      </c>
      <c r="AC27" s="370">
        <v>973143.67</v>
      </c>
      <c r="AD27" s="28">
        <v>640292.80000000005</v>
      </c>
      <c r="AE27" s="423">
        <v>318398.39</v>
      </c>
      <c r="AF27" s="28">
        <v>1300453.5999999999</v>
      </c>
      <c r="AG27" s="370">
        <v>980372.99000000022</v>
      </c>
      <c r="AH27" s="28">
        <v>649342.17000000039</v>
      </c>
      <c r="AI27" s="370">
        <v>329826.80999999959</v>
      </c>
      <c r="AJ27" s="23"/>
      <c r="AK27" s="374"/>
      <c r="AL27" s="23"/>
      <c r="AM27" s="374"/>
      <c r="AN27" s="23"/>
      <c r="AO27" s="374"/>
      <c r="AP27" s="23"/>
      <c r="AQ27" s="374"/>
      <c r="AR27" s="23"/>
      <c r="AS27" s="374"/>
      <c r="AT27" s="23"/>
      <c r="AU27" s="374"/>
      <c r="AV27" s="23"/>
      <c r="AW27" s="374"/>
      <c r="AX27" s="23"/>
      <c r="AY27" s="374"/>
      <c r="AZ27" s="23"/>
      <c r="BA27" s="374"/>
      <c r="BB27" s="23"/>
      <c r="BC27" s="374"/>
      <c r="BD27" s="23"/>
      <c r="BE27" s="374"/>
      <c r="BF27" s="23"/>
      <c r="BG27" s="374"/>
      <c r="BH27" s="23"/>
      <c r="BI27" s="374"/>
      <c r="BJ27" s="23"/>
      <c r="BK27" s="374"/>
      <c r="BL27" s="23"/>
      <c r="BM27" s="374"/>
      <c r="BN27" s="23"/>
      <c r="BO27" s="374"/>
      <c r="BP27" s="23"/>
      <c r="BQ27" s="374"/>
      <c r="BR27" s="348"/>
      <c r="BS27" s="348"/>
    </row>
    <row r="28" spans="1:71" ht="27.95" customHeight="1">
      <c r="A28" s="414" t="s">
        <v>1</v>
      </c>
      <c r="B28" s="369">
        <f>B26+B27</f>
        <v>-5304515.3000000007</v>
      </c>
      <c r="C28" s="475">
        <f t="shared" si="7"/>
        <v>0.69070924562218061</v>
      </c>
      <c r="D28" s="28">
        <f>D26+D27</f>
        <v>-3469622.6099999994</v>
      </c>
      <c r="E28" s="366">
        <f t="shared" si="8"/>
        <v>-8.2166440234859861E-3</v>
      </c>
      <c r="F28" s="369">
        <f>F26+F27</f>
        <v>-1694477.7100000004</v>
      </c>
      <c r="G28" s="422">
        <f t="shared" si="6"/>
        <v>0.77854867427473673</v>
      </c>
      <c r="H28" s="28">
        <f>H26+H27</f>
        <v>-1830230.6800000006</v>
      </c>
      <c r="I28" s="366">
        <f t="shared" si="9"/>
        <v>-1.2787028530240832</v>
      </c>
      <c r="J28" s="369">
        <f t="shared" ref="J28" si="10">J26+J27</f>
        <v>-3137449.7500000009</v>
      </c>
      <c r="K28" s="365">
        <f>(J28/Q28)-1</f>
        <v>-2.201915756833154</v>
      </c>
      <c r="L28" s="62">
        <f>L27+L26</f>
        <v>-3498367.4499999997</v>
      </c>
      <c r="M28" s="366">
        <f>(L28/R28)-1</f>
        <v>-1.9379568003921743</v>
      </c>
      <c r="N28" s="369">
        <f>N26+N27</f>
        <v>-952730.57999999973</v>
      </c>
      <c r="O28" s="422">
        <f>(N28/S28)-1</f>
        <v>-3.1645059409657503</v>
      </c>
      <c r="P28" s="28">
        <f>P26+P27</f>
        <v>6566960.6899999976</v>
      </c>
      <c r="Q28" s="369">
        <f t="shared" ref="Q28" si="11">Q26+Q27</f>
        <v>2610374.0899999961</v>
      </c>
      <c r="R28" s="62">
        <f>R27+R26</f>
        <v>3729774.5999999978</v>
      </c>
      <c r="S28" s="369">
        <f>S26+S27</f>
        <v>440160.76</v>
      </c>
      <c r="T28" s="62">
        <f>T26+T27</f>
        <v>5229182.2299999995</v>
      </c>
      <c r="U28" s="369">
        <f t="shared" ref="U28" si="12">U26+U27</f>
        <v>334374.88000000059</v>
      </c>
      <c r="V28" s="62">
        <f>V26+V27</f>
        <v>-861474.15</v>
      </c>
      <c r="W28" s="369">
        <f>W26+W27</f>
        <v>-759134.36999999965</v>
      </c>
      <c r="X28" s="429">
        <f t="shared" ref="X28:AI28" si="13">X26+X27</f>
        <v>4298135.9800000023</v>
      </c>
      <c r="Y28" s="369">
        <f t="shared" si="13"/>
        <v>920465.02999999851</v>
      </c>
      <c r="Z28" s="62">
        <f t="shared" si="13"/>
        <v>-288941.91999999958</v>
      </c>
      <c r="AA28" s="424">
        <f t="shared" si="13"/>
        <v>-64768.869999999588</v>
      </c>
      <c r="AB28" s="62">
        <f t="shared" si="13"/>
        <v>-1462121.2499999995</v>
      </c>
      <c r="AC28" s="369">
        <f t="shared" si="13"/>
        <v>-1642210.4100000011</v>
      </c>
      <c r="AD28" s="62">
        <f t="shared" si="13"/>
        <v>-1594012.8799999992</v>
      </c>
      <c r="AE28" s="424">
        <f t="shared" si="13"/>
        <v>-435561.44000000018</v>
      </c>
      <c r="AF28" s="62">
        <f t="shared" si="13"/>
        <v>3539130.8499999996</v>
      </c>
      <c r="AG28" s="369">
        <f t="shared" si="13"/>
        <v>-1331655.33</v>
      </c>
      <c r="AH28" s="62">
        <f t="shared" si="13"/>
        <v>-2193371.0399999996</v>
      </c>
      <c r="AI28" s="369">
        <f t="shared" si="13"/>
        <v>-1725119.1700000004</v>
      </c>
      <c r="AJ28" s="362"/>
      <c r="AK28" s="368"/>
      <c r="AL28" s="362"/>
      <c r="AM28" s="368"/>
      <c r="AN28" s="362"/>
      <c r="AO28" s="368"/>
      <c r="AP28" s="362"/>
      <c r="AQ28" s="368"/>
      <c r="AR28" s="362"/>
      <c r="AS28" s="368"/>
      <c r="AT28" s="348"/>
      <c r="AU28" s="348"/>
      <c r="AV28" s="375"/>
      <c r="AW28" s="376"/>
      <c r="AX28" s="375"/>
      <c r="AY28" s="376"/>
      <c r="AZ28" s="375"/>
      <c r="BA28" s="376"/>
      <c r="BB28" s="375"/>
      <c r="BC28" s="376"/>
      <c r="BD28" s="375"/>
      <c r="BE28" s="376"/>
      <c r="BF28" s="375"/>
      <c r="BG28" s="376"/>
      <c r="BH28" s="375"/>
      <c r="BI28" s="376"/>
      <c r="BJ28" s="375"/>
      <c r="BK28" s="376"/>
      <c r="BL28" s="375"/>
      <c r="BM28" s="376"/>
      <c r="BN28" s="375"/>
      <c r="BO28" s="376"/>
      <c r="BP28" s="375"/>
      <c r="BQ28" s="376"/>
      <c r="BR28" s="348"/>
      <c r="BS28" s="348"/>
    </row>
    <row r="29" spans="1:71" ht="27.95" customHeight="1">
      <c r="A29" s="414" t="s">
        <v>6</v>
      </c>
      <c r="B29" s="369">
        <v>-6759269.0599999996</v>
      </c>
      <c r="C29" s="475">
        <f t="shared" si="7"/>
        <v>0.54531794855998839</v>
      </c>
      <c r="D29" s="62">
        <v>-4382196.9800000004</v>
      </c>
      <c r="E29" s="366">
        <f t="shared" si="8"/>
        <v>3.886102955214854E-2</v>
      </c>
      <c r="F29" s="369">
        <v>-2388612.2400000007</v>
      </c>
      <c r="G29" s="422">
        <f t="shared" si="6"/>
        <v>0.43161387973650411</v>
      </c>
      <c r="H29" s="62">
        <f>B11</f>
        <v>-3865748.7900000005</v>
      </c>
      <c r="I29" s="366">
        <f t="shared" si="9"/>
        <v>-1.8172795088021241</v>
      </c>
      <c r="J29" s="370">
        <v>-4374031.29</v>
      </c>
      <c r="K29" s="365">
        <f>(J29/Q29)-1</f>
        <v>-5.0813571294346822</v>
      </c>
      <c r="L29" s="62">
        <f>[2]RZIS!B17</f>
        <v>-4218270.6399999997</v>
      </c>
      <c r="M29" s="366">
        <f>(L29/R29)-1</f>
        <v>-2.6251731976541794</v>
      </c>
      <c r="N29" s="369">
        <v>-1668475.19</v>
      </c>
      <c r="O29" s="422">
        <f>(N29/S29)-1</f>
        <v>13.956695665846405</v>
      </c>
      <c r="P29" s="62">
        <v>4730020.4499999974</v>
      </c>
      <c r="Q29" s="370">
        <f>[2]RZIS!E17</f>
        <v>1071710.0099999965</v>
      </c>
      <c r="R29" s="62">
        <f>[2]RZIS!F17</f>
        <v>2595582.2099999981</v>
      </c>
      <c r="S29" s="369">
        <f>[2]RZIS!G17</f>
        <v>-111553.72999999998</v>
      </c>
      <c r="T29" s="62">
        <f>[2]RZIS!H17</f>
        <v>3834694.3799999994</v>
      </c>
      <c r="U29" s="370">
        <f>[2]RZIS!I17</f>
        <v>-567265.01999999932</v>
      </c>
      <c r="V29" s="62">
        <f>[2]RZIS!J17</f>
        <v>-1490113.67</v>
      </c>
      <c r="W29" s="369">
        <v>-882375.66999999969</v>
      </c>
      <c r="X29" s="428">
        <v>3327116.2400000026</v>
      </c>
      <c r="Y29" s="370">
        <v>116726.83999999764</v>
      </c>
      <c r="Z29" s="28">
        <v>-1224846.2299999995</v>
      </c>
      <c r="AA29" s="424">
        <v>-522851.60999999958</v>
      </c>
      <c r="AB29" s="28">
        <v>-3529471.88</v>
      </c>
      <c r="AC29" s="370">
        <v>-3327099.2700000014</v>
      </c>
      <c r="AD29" s="28">
        <v>-2789817.709999999</v>
      </c>
      <c r="AE29" s="423">
        <v>-887509.62000000023</v>
      </c>
      <c r="AF29" s="28">
        <v>982789.08999999962</v>
      </c>
      <c r="AG29" s="370">
        <v>-3175815.8000000003</v>
      </c>
      <c r="AH29" s="28">
        <v>-3381669.3000000003</v>
      </c>
      <c r="AI29" s="370">
        <v>-2301146.0299999998</v>
      </c>
      <c r="AJ29" s="362"/>
      <c r="AK29" s="368"/>
      <c r="AL29" s="362"/>
      <c r="AM29" s="368"/>
      <c r="AN29" s="362"/>
      <c r="AO29" s="368"/>
      <c r="AP29" s="362"/>
      <c r="AQ29" s="368"/>
      <c r="AR29" s="362"/>
      <c r="AS29" s="368"/>
      <c r="AT29" s="348"/>
      <c r="AU29" s="348"/>
      <c r="AV29" s="375"/>
      <c r="AW29" s="376"/>
      <c r="AX29" s="375"/>
      <c r="AY29" s="376"/>
      <c r="AZ29" s="375"/>
      <c r="BA29" s="376"/>
      <c r="BB29" s="375"/>
      <c r="BC29" s="376"/>
      <c r="BD29" s="375"/>
      <c r="BE29" s="376"/>
      <c r="BF29" s="375"/>
      <c r="BG29" s="376"/>
      <c r="BH29" s="375"/>
      <c r="BI29" s="376"/>
      <c r="BJ29" s="375"/>
      <c r="BK29" s="376"/>
      <c r="BL29" s="375"/>
      <c r="BM29" s="376"/>
      <c r="BN29" s="375"/>
      <c r="BO29" s="376"/>
      <c r="BP29" s="375"/>
      <c r="BQ29" s="376"/>
      <c r="BR29" s="348"/>
      <c r="BS29" s="348"/>
    </row>
    <row r="30" spans="1:71" ht="27.95" customHeight="1">
      <c r="A30" s="414" t="s">
        <v>7</v>
      </c>
      <c r="B30" s="369">
        <v>-5820428.0599999996</v>
      </c>
      <c r="C30" s="475">
        <f t="shared" si="7"/>
        <v>0.69212101360630074</v>
      </c>
      <c r="D30" s="62">
        <v>-3850525.98</v>
      </c>
      <c r="E30" s="366">
        <f t="shared" si="8"/>
        <v>0.13433337075434748</v>
      </c>
      <c r="F30" s="369">
        <v>-2037435.2400000007</v>
      </c>
      <c r="G30" s="422">
        <f t="shared" si="6"/>
        <v>0.4609887157245729</v>
      </c>
      <c r="H30" s="62">
        <f>B12</f>
        <v>-3030346.0300000003</v>
      </c>
      <c r="I30" s="366">
        <f t="shared" si="9"/>
        <v>-1.8654875567901392</v>
      </c>
      <c r="J30" s="370">
        <v>-3439723.29</v>
      </c>
      <c r="K30" s="365">
        <f>(J30/Q30)-1</f>
        <v>-5.1265355771192285</v>
      </c>
      <c r="L30" s="62">
        <f>[2]RZIS!B20</f>
        <v>-3394527.6399999997</v>
      </c>
      <c r="M30" s="366">
        <f>(L30/R30)-1</f>
        <v>-2.6257937557872495</v>
      </c>
      <c r="N30" s="369">
        <v>-1394559.19</v>
      </c>
      <c r="O30" s="422">
        <f>(N30/S30)-1</f>
        <v>9.3794488787507806</v>
      </c>
      <c r="P30" s="62">
        <v>3501316.6927999975</v>
      </c>
      <c r="Q30" s="370">
        <f>[2]RZIS!E20</f>
        <v>833562.00999999652</v>
      </c>
      <c r="R30" s="62">
        <f>[2]RZIS!F20</f>
        <v>2087920.2099999981</v>
      </c>
      <c r="S30" s="369">
        <f>[2]RZIS!G20</f>
        <v>-134357.72999999998</v>
      </c>
      <c r="T30" s="62">
        <f>[2]RZIS!H20</f>
        <v>2877751.3799999994</v>
      </c>
      <c r="U30" s="370">
        <f>[2]RZIS!I20</f>
        <v>-396419.01999999932</v>
      </c>
      <c r="V30" s="62">
        <f>[2]RZIS!J20</f>
        <v>-1420329.67</v>
      </c>
      <c r="W30" s="369">
        <v>-892299.66999999969</v>
      </c>
      <c r="X30" s="428">
        <v>2984396.2400000026</v>
      </c>
      <c r="Y30" s="370">
        <v>73106.839999997639</v>
      </c>
      <c r="Z30" s="28">
        <v>-1261834.2299999995</v>
      </c>
      <c r="AA30" s="424">
        <v>-516480.60999999958</v>
      </c>
      <c r="AB30" s="28">
        <v>-3792103.88</v>
      </c>
      <c r="AC30" s="370">
        <v>-3710756.2700000014</v>
      </c>
      <c r="AD30" s="28">
        <v>-2980360.709999999</v>
      </c>
      <c r="AE30" s="423">
        <v>-1130647.6200000001</v>
      </c>
      <c r="AF30" s="28">
        <v>888028.08999999962</v>
      </c>
      <c r="AG30" s="370">
        <v>-3272063.8000000003</v>
      </c>
      <c r="AH30" s="28">
        <v>-3446127.3000000003</v>
      </c>
      <c r="AI30" s="370">
        <v>-2330669.0299999998</v>
      </c>
      <c r="AJ30" s="362"/>
      <c r="AK30" s="368"/>
      <c r="AL30" s="362"/>
      <c r="AM30" s="368"/>
      <c r="AN30" s="362"/>
      <c r="AO30" s="368"/>
      <c r="AP30" s="362"/>
      <c r="AQ30" s="368"/>
      <c r="AR30" s="362"/>
      <c r="AS30" s="368"/>
      <c r="AT30" s="348"/>
      <c r="AU30" s="348"/>
      <c r="AV30" s="375"/>
      <c r="AW30" s="376"/>
      <c r="AX30" s="375"/>
      <c r="AY30" s="376"/>
      <c r="AZ30" s="375"/>
      <c r="BA30" s="376"/>
      <c r="BB30" s="375"/>
      <c r="BC30" s="376"/>
      <c r="BD30" s="375"/>
      <c r="BE30" s="376"/>
      <c r="BF30" s="375"/>
      <c r="BG30" s="376"/>
      <c r="BH30" s="375"/>
      <c r="BI30" s="376"/>
      <c r="BJ30" s="375"/>
      <c r="BK30" s="376"/>
      <c r="BL30" s="375"/>
      <c r="BM30" s="376"/>
      <c r="BN30" s="375"/>
      <c r="BO30" s="376"/>
      <c r="BP30" s="375"/>
      <c r="BQ30" s="376"/>
      <c r="BR30" s="348"/>
      <c r="BS30" s="348"/>
    </row>
    <row r="31" spans="1:71" ht="27.95" customHeight="1">
      <c r="A31" s="414"/>
      <c r="B31" s="369"/>
      <c r="C31" s="475"/>
      <c r="D31" s="62"/>
      <c r="E31" s="366"/>
      <c r="F31" s="369"/>
      <c r="G31" s="422"/>
      <c r="H31" s="62"/>
      <c r="I31" s="366"/>
      <c r="J31" s="370"/>
      <c r="K31" s="365"/>
      <c r="L31" s="62"/>
      <c r="M31" s="425"/>
      <c r="N31" s="369"/>
      <c r="O31" s="422"/>
      <c r="P31" s="62"/>
      <c r="Q31" s="370"/>
      <c r="R31" s="62"/>
      <c r="S31" s="369"/>
      <c r="T31" s="430"/>
      <c r="U31" s="370"/>
      <c r="V31" s="62"/>
      <c r="W31" s="369"/>
      <c r="X31" s="428"/>
      <c r="Y31" s="370"/>
      <c r="Z31" s="28"/>
      <c r="AA31" s="424"/>
      <c r="AB31" s="28"/>
      <c r="AC31" s="370"/>
      <c r="AD31" s="28"/>
      <c r="AE31" s="423"/>
      <c r="AF31" s="28"/>
      <c r="AG31" s="370"/>
      <c r="AH31" s="28"/>
      <c r="AI31" s="370"/>
      <c r="AJ31" s="362"/>
      <c r="AK31" s="368"/>
      <c r="AL31" s="362"/>
      <c r="AM31" s="368"/>
      <c r="AN31" s="362"/>
      <c r="AO31" s="368"/>
      <c r="AP31" s="362"/>
      <c r="AQ31" s="368"/>
      <c r="AR31" s="362"/>
      <c r="AS31" s="368"/>
      <c r="AT31" s="348"/>
      <c r="AU31" s="348"/>
      <c r="AV31" s="375"/>
      <c r="AW31" s="376"/>
      <c r="AX31" s="375"/>
      <c r="AY31" s="376"/>
      <c r="AZ31" s="375"/>
      <c r="BA31" s="376"/>
      <c r="BB31" s="375"/>
      <c r="BC31" s="376"/>
      <c r="BD31" s="375"/>
      <c r="BE31" s="376"/>
      <c r="BF31" s="375"/>
      <c r="BG31" s="376"/>
      <c r="BH31" s="375"/>
      <c r="BI31" s="376"/>
      <c r="BJ31" s="375"/>
      <c r="BK31" s="376"/>
      <c r="BL31" s="375"/>
      <c r="BM31" s="376"/>
      <c r="BN31" s="375"/>
      <c r="BO31" s="376"/>
      <c r="BP31" s="375"/>
      <c r="BQ31" s="376"/>
      <c r="BR31" s="348"/>
      <c r="BS31" s="348"/>
    </row>
    <row r="32" spans="1:71" ht="27.95" customHeight="1">
      <c r="A32" s="414" t="s">
        <v>8</v>
      </c>
      <c r="B32" s="369">
        <v>213281351.83000001</v>
      </c>
      <c r="C32" s="475">
        <f>(B32/J32)-1</f>
        <v>1.924545302390035E-2</v>
      </c>
      <c r="D32" s="62">
        <v>210788795.87</v>
      </c>
      <c r="E32" s="366">
        <f t="shared" ref="E32:G37" si="14">(D32/L32)-1</f>
        <v>7.3820372813293345E-2</v>
      </c>
      <c r="F32" s="369">
        <v>201809940.50999999</v>
      </c>
      <c r="G32" s="422">
        <f t="shared" si="14"/>
        <v>2.1800802896158933E-2</v>
      </c>
      <c r="H32" s="62">
        <f t="shared" ref="H32:H37" si="15">B14</f>
        <v>199431209.44</v>
      </c>
      <c r="I32" s="366">
        <f>(H32/P32)-1</f>
        <v>4.9172856256829434E-5</v>
      </c>
      <c r="J32" s="370">
        <v>209254160.71000001</v>
      </c>
      <c r="K32" s="365">
        <f>(J32/Q32)-1</f>
        <v>4.145498888425414E-2</v>
      </c>
      <c r="L32" s="62">
        <f>[2]BILANS!B30</f>
        <v>196298004.03000003</v>
      </c>
      <c r="M32" s="425">
        <f>L32/R32-1</f>
        <v>-2.6517977647112612E-2</v>
      </c>
      <c r="N32" s="369">
        <v>197504190.57999998</v>
      </c>
      <c r="O32" s="422">
        <f>(N32/S32)-1</f>
        <v>-3.9874379688917827E-3</v>
      </c>
      <c r="P32" s="62">
        <v>199421403.31999999</v>
      </c>
      <c r="Q32" s="370">
        <f>[2]BILANS!E30</f>
        <v>200924824.35000002</v>
      </c>
      <c r="R32" s="62">
        <f>[2]BILANS!F30</f>
        <v>201645227.67000002</v>
      </c>
      <c r="S32" s="369">
        <f>[2]BILANS!G30</f>
        <v>198294879.11000001</v>
      </c>
      <c r="T32" s="62">
        <f>[2]BILANS!H30</f>
        <v>192729857.56999999</v>
      </c>
      <c r="U32" s="370">
        <f>[2]BILANS!I30</f>
        <v>198201881.10999998</v>
      </c>
      <c r="V32" s="62">
        <f>[2]BILANS!J30</f>
        <v>187423674.78</v>
      </c>
      <c r="W32" s="369">
        <v>191856911.29999998</v>
      </c>
      <c r="X32" s="428">
        <v>188075713.99999997</v>
      </c>
      <c r="Y32" s="370">
        <v>200146118.90999997</v>
      </c>
      <c r="Z32" s="28">
        <v>188270565.07000002</v>
      </c>
      <c r="AA32" s="424">
        <v>186469399.14999998</v>
      </c>
      <c r="AB32" s="28">
        <v>186252222.64999998</v>
      </c>
      <c r="AC32" s="370">
        <v>189289321.5</v>
      </c>
      <c r="AD32" s="28">
        <v>184787538.11000001</v>
      </c>
      <c r="AE32" s="423">
        <v>185462175.36999997</v>
      </c>
      <c r="AF32" s="28">
        <v>186773795.82999998</v>
      </c>
      <c r="AG32" s="370">
        <v>185230754.91</v>
      </c>
      <c r="AH32" s="28">
        <v>182075629.93000001</v>
      </c>
      <c r="AI32" s="370">
        <v>181982663.10000002</v>
      </c>
      <c r="AJ32" s="362"/>
      <c r="AK32" s="368"/>
      <c r="AL32" s="362"/>
      <c r="AM32" s="368"/>
      <c r="AN32" s="362"/>
      <c r="AO32" s="368"/>
      <c r="AP32" s="362"/>
      <c r="AQ32" s="368"/>
      <c r="AR32" s="362"/>
      <c r="AS32" s="368"/>
      <c r="AT32" s="348"/>
      <c r="AU32" s="348"/>
      <c r="AV32" s="375"/>
      <c r="AW32" s="376"/>
      <c r="AX32" s="375"/>
      <c r="AY32" s="376"/>
      <c r="AZ32" s="375"/>
      <c r="BA32" s="376"/>
      <c r="BB32" s="375"/>
      <c r="BC32" s="376"/>
      <c r="BD32" s="375"/>
      <c r="BE32" s="376"/>
      <c r="BF32" s="375"/>
      <c r="BG32" s="376"/>
      <c r="BH32" s="375"/>
      <c r="BI32" s="376"/>
      <c r="BJ32" s="375"/>
      <c r="BK32" s="376"/>
      <c r="BL32" s="375"/>
      <c r="BM32" s="376"/>
      <c r="BN32" s="375"/>
      <c r="BO32" s="376"/>
      <c r="BP32" s="375"/>
      <c r="BQ32" s="376"/>
      <c r="BR32" s="348"/>
      <c r="BS32" s="348"/>
    </row>
    <row r="33" spans="1:71" ht="27.95" customHeight="1">
      <c r="A33" s="414" t="s">
        <v>9</v>
      </c>
      <c r="B33" s="369">
        <v>184818611.09</v>
      </c>
      <c r="C33" s="475">
        <f t="shared" si="7"/>
        <v>9.3537939159564765E-2</v>
      </c>
      <c r="D33" s="62">
        <v>182865323.30000001</v>
      </c>
      <c r="E33" s="366">
        <f t="shared" si="14"/>
        <v>9.2269083586410394E-2</v>
      </c>
      <c r="F33" s="369">
        <v>177800414.70999998</v>
      </c>
      <c r="G33" s="422">
        <f t="shared" si="14"/>
        <v>5.6570501649264138E-2</v>
      </c>
      <c r="H33" s="62">
        <f t="shared" si="15"/>
        <v>174471483.31999999</v>
      </c>
      <c r="I33" s="366">
        <f t="shared" ref="I33:I37" si="16">(H33/P33)-1</f>
        <v>4.1267481637230041E-2</v>
      </c>
      <c r="J33" s="370">
        <v>169009784.18000001</v>
      </c>
      <c r="K33" s="365">
        <f>(J33/Q33)-1</f>
        <v>1.534377498973627E-2</v>
      </c>
      <c r="L33" s="62">
        <f>[2]BILANS!B17</f>
        <v>167417833.25000003</v>
      </c>
      <c r="M33" s="425">
        <f>L33/R33-1</f>
        <v>6.9637585225847953E-3</v>
      </c>
      <c r="N33" s="369">
        <v>168280691.56999999</v>
      </c>
      <c r="O33" s="422">
        <f>(N33/S33)-1</f>
        <v>1.2044171332866949E-2</v>
      </c>
      <c r="P33" s="62">
        <v>167556834.72</v>
      </c>
      <c r="Q33" s="370">
        <f>[2]BILANS!E17</f>
        <v>166455724.99000001</v>
      </c>
      <c r="R33" s="62">
        <f>[2]BILANS!F17</f>
        <v>166260038.49000001</v>
      </c>
      <c r="S33" s="369">
        <f>[2]BILANS!G17</f>
        <v>166278010.72000003</v>
      </c>
      <c r="T33" s="62">
        <f>[2]BILANS!H17</f>
        <v>166249753.94</v>
      </c>
      <c r="U33" s="370">
        <f>[2]BILANS!I17</f>
        <v>165578954.44</v>
      </c>
      <c r="V33" s="62">
        <f>[2]BILANS!J17</f>
        <v>165158969.16</v>
      </c>
      <c r="W33" s="369">
        <v>165124616.34999999</v>
      </c>
      <c r="X33" s="428">
        <v>165974286.54999998</v>
      </c>
      <c r="Y33" s="370">
        <v>165991172.73999998</v>
      </c>
      <c r="Z33" s="28">
        <v>164997773.30000001</v>
      </c>
      <c r="AA33" s="424">
        <v>163755757.07999998</v>
      </c>
      <c r="AB33" s="28">
        <v>164846388.01999998</v>
      </c>
      <c r="AC33" s="370">
        <v>167473399.36000001</v>
      </c>
      <c r="AD33" s="28">
        <v>166186062.62</v>
      </c>
      <c r="AE33" s="423">
        <v>165674673.41999999</v>
      </c>
      <c r="AF33" s="28">
        <v>166526599.63</v>
      </c>
      <c r="AG33" s="370">
        <v>163474726.97999999</v>
      </c>
      <c r="AH33" s="28">
        <v>163617886.59999999</v>
      </c>
      <c r="AI33" s="370">
        <v>164030476.55000001</v>
      </c>
      <c r="AJ33" s="362"/>
      <c r="AK33" s="368"/>
      <c r="AL33" s="362"/>
      <c r="AM33" s="368"/>
      <c r="AN33" s="362"/>
      <c r="AO33" s="368"/>
      <c r="AP33" s="362"/>
      <c r="AQ33" s="368"/>
      <c r="AR33" s="362"/>
      <c r="AS33" s="368"/>
      <c r="AT33" s="348"/>
      <c r="AU33" s="348"/>
      <c r="AV33" s="375"/>
      <c r="AW33" s="376"/>
      <c r="AX33" s="375"/>
      <c r="AY33" s="376"/>
      <c r="AZ33" s="375"/>
      <c r="BA33" s="376"/>
      <c r="BB33" s="375"/>
      <c r="BC33" s="376"/>
      <c r="BD33" s="375"/>
      <c r="BE33" s="376"/>
      <c r="BF33" s="375"/>
      <c r="BG33" s="376"/>
      <c r="BH33" s="375"/>
      <c r="BI33" s="376"/>
      <c r="BJ33" s="375"/>
      <c r="BK33" s="376"/>
      <c r="BL33" s="375"/>
      <c r="BM33" s="376"/>
      <c r="BN33" s="375"/>
      <c r="BO33" s="376"/>
      <c r="BP33" s="375"/>
      <c r="BQ33" s="376"/>
      <c r="BR33" s="348"/>
      <c r="BS33" s="348"/>
    </row>
    <row r="34" spans="1:71" ht="27.95" customHeight="1">
      <c r="A34" s="414" t="s">
        <v>10</v>
      </c>
      <c r="B34" s="369">
        <v>28462740.739999998</v>
      </c>
      <c r="C34" s="475">
        <f t="shared" si="7"/>
        <v>-0.29275234966598196</v>
      </c>
      <c r="D34" s="62">
        <v>27923472.57</v>
      </c>
      <c r="E34" s="366">
        <f t="shared" si="14"/>
        <v>-3.3126473430085346E-2</v>
      </c>
      <c r="F34" s="369">
        <v>24009525.800000004</v>
      </c>
      <c r="G34" s="422">
        <f t="shared" si="14"/>
        <v>-0.17841714327965386</v>
      </c>
      <c r="H34" s="62">
        <f t="shared" si="15"/>
        <v>24959726.120000005</v>
      </c>
      <c r="I34" s="366">
        <f t="shared" si="16"/>
        <v>-0.21669342418149029</v>
      </c>
      <c r="J34" s="370">
        <v>40244376.529999994</v>
      </c>
      <c r="K34" s="365">
        <f>(J34/Q34)-1</f>
        <v>0.16754940735997215</v>
      </c>
      <c r="L34" s="62">
        <f>[2]BILANS!B29</f>
        <v>28880170.779999997</v>
      </c>
      <c r="M34" s="425">
        <f>L34/R34-1</f>
        <v>-0.18383449546955344</v>
      </c>
      <c r="N34" s="369">
        <v>29223499.009999998</v>
      </c>
      <c r="O34" s="422">
        <f>(N34/S34)-1</f>
        <v>-8.724680209112734E-2</v>
      </c>
      <c r="P34" s="62">
        <v>31864568.600000001</v>
      </c>
      <c r="Q34" s="370">
        <f>[2]BILANS!E29</f>
        <v>34469099.359999999</v>
      </c>
      <c r="R34" s="62">
        <f>[2]BILANS!F29</f>
        <v>35385189.18</v>
      </c>
      <c r="S34" s="369">
        <f>[2]BILANS!G29</f>
        <v>32016868.389999997</v>
      </c>
      <c r="T34" s="62">
        <f>[2]BILANS!H29</f>
        <v>26480103.630000003</v>
      </c>
      <c r="U34" s="370">
        <f>[2]BILANS!I29</f>
        <v>32622926.669999998</v>
      </c>
      <c r="V34" s="62">
        <f>[2]BILANS!J29</f>
        <v>22264705.620000001</v>
      </c>
      <c r="W34" s="369">
        <v>26732294.949999996</v>
      </c>
      <c r="X34" s="428">
        <v>22101427.449999996</v>
      </c>
      <c r="Y34" s="370">
        <v>34154946.170000002</v>
      </c>
      <c r="Z34" s="28">
        <v>23272791.77</v>
      </c>
      <c r="AA34" s="424">
        <v>22713642.07</v>
      </c>
      <c r="AB34" s="28">
        <v>21405834.630000003</v>
      </c>
      <c r="AC34" s="370">
        <v>21815922.140000001</v>
      </c>
      <c r="AD34" s="28">
        <v>18601475.490000002</v>
      </c>
      <c r="AE34" s="423">
        <v>19787501.949999999</v>
      </c>
      <c r="AF34" s="28">
        <v>20247196.200000003</v>
      </c>
      <c r="AG34" s="370">
        <v>21756027.930000003</v>
      </c>
      <c r="AH34" s="28">
        <v>18457743.330000002</v>
      </c>
      <c r="AI34" s="370">
        <v>17952186.550000004</v>
      </c>
      <c r="AJ34" s="362"/>
      <c r="AK34" s="368"/>
      <c r="AL34" s="362"/>
      <c r="AM34" s="368"/>
      <c r="AN34" s="362"/>
      <c r="AO34" s="368"/>
      <c r="AP34" s="362"/>
      <c r="AQ34" s="368"/>
      <c r="AR34" s="362"/>
      <c r="AS34" s="368"/>
      <c r="AT34" s="348"/>
      <c r="AU34" s="348"/>
      <c r="AV34" s="375"/>
      <c r="AW34" s="376"/>
      <c r="AX34" s="375"/>
      <c r="AY34" s="376"/>
      <c r="AZ34" s="375"/>
      <c r="BA34" s="376"/>
      <c r="BB34" s="375"/>
      <c r="BC34" s="376"/>
      <c r="BD34" s="375"/>
      <c r="BE34" s="376"/>
      <c r="BF34" s="375"/>
      <c r="BG34" s="376"/>
      <c r="BH34" s="375"/>
      <c r="BI34" s="376"/>
      <c r="BJ34" s="375"/>
      <c r="BK34" s="376"/>
      <c r="BL34" s="375"/>
      <c r="BM34" s="376"/>
      <c r="BN34" s="375"/>
      <c r="BO34" s="376"/>
      <c r="BP34" s="375"/>
      <c r="BQ34" s="376"/>
      <c r="BR34" s="348"/>
      <c r="BS34" s="348"/>
    </row>
    <row r="35" spans="1:71" ht="27.95" customHeight="1">
      <c r="A35" s="414" t="s">
        <v>11</v>
      </c>
      <c r="B35" s="369">
        <v>163312633.72999999</v>
      </c>
      <c r="C35" s="475">
        <f t="shared" si="7"/>
        <v>-3.3472368459216972E-2</v>
      </c>
      <c r="D35" s="62">
        <v>165437538.31</v>
      </c>
      <c r="E35" s="366">
        <f t="shared" si="14"/>
        <v>-2.5070334742278155E-2</v>
      </c>
      <c r="F35" s="369">
        <v>167120931.05000001</v>
      </c>
      <c r="G35" s="422">
        <f t="shared" si="14"/>
        <v>-2.9501478502735434E-2</v>
      </c>
      <c r="H35" s="62">
        <f t="shared" si="15"/>
        <v>169298082.03999999</v>
      </c>
      <c r="I35" s="366">
        <f t="shared" si="16"/>
        <v>-2.3367434007507293E-2</v>
      </c>
      <c r="J35" s="370">
        <v>168968406.49000001</v>
      </c>
      <c r="K35" s="365">
        <f>(J35/Q35)-1</f>
        <v>-7.0606874464068659E-3</v>
      </c>
      <c r="L35" s="62">
        <f>[2]BILANS!B37</f>
        <v>169691767.73000002</v>
      </c>
      <c r="M35" s="425">
        <f>L35/R35-1</f>
        <v>-1.0325922720621605E-2</v>
      </c>
      <c r="N35" s="369">
        <v>172201118.64999998</v>
      </c>
      <c r="O35" s="422">
        <f>(N35/S35)-1</f>
        <v>1.732210946384094E-2</v>
      </c>
      <c r="P35" s="62">
        <v>173348798.65279996</v>
      </c>
      <c r="Q35" s="370">
        <f>[2]BILANS!E37</f>
        <v>170169923.13000003</v>
      </c>
      <c r="R35" s="62">
        <f>[2]BILANS!F37</f>
        <v>171462273.91999999</v>
      </c>
      <c r="S35" s="369">
        <f>[2]BILANS!G37</f>
        <v>169269022.12</v>
      </c>
      <c r="T35" s="62">
        <f>[2]BILANS!H37</f>
        <v>170068820.79000002</v>
      </c>
      <c r="U35" s="370">
        <f>[2]BILANS!I37</f>
        <v>166817904.52000001</v>
      </c>
      <c r="V35" s="62">
        <f>[2]BILANS!J37</f>
        <v>165402476.00999999</v>
      </c>
      <c r="W35" s="369">
        <v>166399962.25999999</v>
      </c>
      <c r="X35" s="428">
        <v>167308988.51999998</v>
      </c>
      <c r="Y35" s="370">
        <v>164365678.73000002</v>
      </c>
      <c r="Z35" s="28">
        <v>163009526.87</v>
      </c>
      <c r="AA35" s="424">
        <v>164064291.62</v>
      </c>
      <c r="AB35" s="28">
        <v>163695327.56</v>
      </c>
      <c r="AC35" s="370">
        <v>163200033.40000001</v>
      </c>
      <c r="AD35" s="28">
        <v>161697721.34999999</v>
      </c>
      <c r="AE35" s="423">
        <v>162975554.23999998</v>
      </c>
      <c r="AF35" s="28">
        <v>164460515.09999999</v>
      </c>
      <c r="AG35" s="370">
        <v>159870250.88999999</v>
      </c>
      <c r="AH35" s="28">
        <v>159465383.82000002</v>
      </c>
      <c r="AI35" s="370">
        <v>160835216.31</v>
      </c>
      <c r="AJ35" s="362"/>
      <c r="AK35" s="368"/>
      <c r="AL35" s="362"/>
      <c r="AM35" s="368"/>
      <c r="AN35" s="362"/>
      <c r="AO35" s="368"/>
      <c r="AP35" s="362"/>
      <c r="AQ35" s="368"/>
      <c r="AR35" s="362"/>
      <c r="AS35" s="368"/>
      <c r="AT35" s="348"/>
      <c r="AU35" s="348"/>
      <c r="AV35" s="375"/>
      <c r="AW35" s="376"/>
      <c r="AX35" s="375"/>
      <c r="AY35" s="376"/>
      <c r="AZ35" s="375"/>
      <c r="BA35" s="376"/>
      <c r="BB35" s="375"/>
      <c r="BC35" s="376"/>
      <c r="BD35" s="375"/>
      <c r="BE35" s="376"/>
      <c r="BF35" s="375"/>
      <c r="BG35" s="376"/>
      <c r="BH35" s="375"/>
      <c r="BI35" s="376"/>
      <c r="BJ35" s="375"/>
      <c r="BK35" s="376"/>
      <c r="BL35" s="375"/>
      <c r="BM35" s="376"/>
      <c r="BN35" s="375"/>
      <c r="BO35" s="376"/>
      <c r="BP35" s="375"/>
      <c r="BQ35" s="376"/>
      <c r="BR35" s="348"/>
      <c r="BS35" s="348"/>
    </row>
    <row r="36" spans="1:71" ht="27.95" customHeight="1">
      <c r="A36" s="414" t="s">
        <v>12</v>
      </c>
      <c r="B36" s="369">
        <v>15103892.199999999</v>
      </c>
      <c r="C36" s="475">
        <f t="shared" si="7"/>
        <v>1.2517506401594303</v>
      </c>
      <c r="D36" s="62">
        <v>11889483.6</v>
      </c>
      <c r="E36" s="366">
        <f t="shared" si="14"/>
        <v>1.2186793054498408</v>
      </c>
      <c r="F36" s="369">
        <v>9038852.5199999996</v>
      </c>
      <c r="G36" s="422">
        <f t="shared" si="14"/>
        <v>0.94245348858486944</v>
      </c>
      <c r="H36" s="62">
        <f t="shared" si="15"/>
        <v>5669883.7899999991</v>
      </c>
      <c r="I36" s="366">
        <f t="shared" si="16"/>
        <v>8.023761824691733E-2</v>
      </c>
      <c r="J36" s="370">
        <v>6707622.0300000003</v>
      </c>
      <c r="K36" s="365">
        <f>(J36/Q36)-1</f>
        <v>2.4889303655279305E-2</v>
      </c>
      <c r="L36" s="62">
        <f>[2]BILANS!B45</f>
        <v>5358811.24</v>
      </c>
      <c r="M36" s="425">
        <f>L36/R36-1</f>
        <v>-0.18103725042755514</v>
      </c>
      <c r="N36" s="369">
        <v>4653317.3499999996</v>
      </c>
      <c r="O36" s="422">
        <f>(N36/S36)-1</f>
        <v>-0.28430923827887267</v>
      </c>
      <c r="P36" s="62">
        <v>5248737.5872</v>
      </c>
      <c r="Q36" s="370">
        <f>[2]BILANS!E45</f>
        <v>6544728.2999999998</v>
      </c>
      <c r="R36" s="62">
        <f>[2]BILANS!F45</f>
        <v>6543412.6799999997</v>
      </c>
      <c r="S36" s="369">
        <f>[2]BILANS!G45</f>
        <v>6501854.71</v>
      </c>
      <c r="T36" s="62">
        <f>[2]BILANS!H45</f>
        <v>7008926.7000000002</v>
      </c>
      <c r="U36" s="370">
        <f>[2]BILANS!I45</f>
        <v>7260359.6299999999</v>
      </c>
      <c r="V36" s="62">
        <f>[2]BILANS!J45</f>
        <v>7327103.8300000001</v>
      </c>
      <c r="W36" s="369">
        <v>7520820.5499999998</v>
      </c>
      <c r="X36" s="428">
        <v>7869857.0700000003</v>
      </c>
      <c r="Y36" s="370">
        <v>8566814.7599999998</v>
      </c>
      <c r="Z36" s="28">
        <v>8633383.6799999997</v>
      </c>
      <c r="AA36" s="424">
        <v>8610038.7599999998</v>
      </c>
      <c r="AB36" s="28">
        <v>8758712.7599999998</v>
      </c>
      <c r="AC36" s="370">
        <v>10081938.560000001</v>
      </c>
      <c r="AD36" s="28">
        <v>9952354.1799999997</v>
      </c>
      <c r="AE36" s="423">
        <v>10040647.5</v>
      </c>
      <c r="AF36" s="28">
        <v>10472603.289999999</v>
      </c>
      <c r="AG36" s="370">
        <v>11752170.460000001</v>
      </c>
      <c r="AH36" s="28">
        <v>11865736.84</v>
      </c>
      <c r="AI36" s="370">
        <v>12118624.32</v>
      </c>
      <c r="AJ36" s="362"/>
      <c r="AK36" s="368"/>
      <c r="AL36" s="362"/>
      <c r="AM36" s="368"/>
      <c r="AN36" s="362"/>
      <c r="AO36" s="368"/>
      <c r="AP36" s="362"/>
      <c r="AQ36" s="368"/>
      <c r="AR36" s="362"/>
      <c r="AS36" s="36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</row>
    <row r="37" spans="1:71" ht="27.95" customHeight="1">
      <c r="A37" s="414" t="s">
        <v>13</v>
      </c>
      <c r="B37" s="369">
        <v>34864825.899999999</v>
      </c>
      <c r="C37" s="475">
        <f t="shared" si="7"/>
        <v>3.8319394977639476E-2</v>
      </c>
      <c r="D37" s="62">
        <v>33461773.960000001</v>
      </c>
      <c r="E37" s="366">
        <f t="shared" si="14"/>
        <v>0.5748625476032152</v>
      </c>
      <c r="F37" s="369">
        <v>25650156.940000001</v>
      </c>
      <c r="G37" s="422">
        <f t="shared" si="14"/>
        <v>0.24215311327927647</v>
      </c>
      <c r="H37" s="62">
        <f t="shared" si="15"/>
        <v>24463243.609999999</v>
      </c>
      <c r="I37" s="366">
        <f t="shared" si="16"/>
        <v>0.17476948522666036</v>
      </c>
      <c r="J37" s="370">
        <v>33578132.189999998</v>
      </c>
      <c r="K37" s="365">
        <f>(J37/Q37)-1</f>
        <v>0.3869430962329532</v>
      </c>
      <c r="L37" s="62">
        <f>[2]BILANS!B55</f>
        <v>21247425.060000002</v>
      </c>
      <c r="M37" s="425">
        <f>L37/R37-1</f>
        <v>-0.10119130497993201</v>
      </c>
      <c r="N37" s="369">
        <v>20649754.580000002</v>
      </c>
      <c r="O37" s="422">
        <f>(N37/S37)-1</f>
        <v>-8.3211130806189693E-2</v>
      </c>
      <c r="P37" s="62">
        <v>20823867.080000002</v>
      </c>
      <c r="Q37" s="370">
        <f>[2]BILANS!E55</f>
        <v>24210172.920000002</v>
      </c>
      <c r="R37" s="62">
        <f>[2]BILANS!F55</f>
        <v>23639541.07</v>
      </c>
      <c r="S37" s="369">
        <f>[2]BILANS!G55</f>
        <v>22524002.279999997</v>
      </c>
      <c r="T37" s="62">
        <f>[2]BILANS!H55</f>
        <v>15652110.08</v>
      </c>
      <c r="U37" s="370">
        <f>[2]BILANS!I55</f>
        <v>24123616.960000001</v>
      </c>
      <c r="V37" s="62">
        <f>[2]BILANS!J55</f>
        <v>14694094.939999999</v>
      </c>
      <c r="W37" s="369">
        <v>17936128.490000002</v>
      </c>
      <c r="X37" s="428">
        <v>12896868.409999998</v>
      </c>
      <c r="Y37" s="370">
        <v>27213625.420000002</v>
      </c>
      <c r="Z37" s="28">
        <v>16627654.52</v>
      </c>
      <c r="AA37" s="424">
        <v>13795068.77</v>
      </c>
      <c r="AB37" s="28">
        <v>13798182.33</v>
      </c>
      <c r="AC37" s="370">
        <v>16007349.540000001</v>
      </c>
      <c r="AD37" s="28">
        <v>13137462.58</v>
      </c>
      <c r="AE37" s="423">
        <v>12445973.630000001</v>
      </c>
      <c r="AF37" s="28">
        <v>11840677.440000001</v>
      </c>
      <c r="AG37" s="370">
        <v>13608333.559999999</v>
      </c>
      <c r="AH37" s="28">
        <v>10744509.27</v>
      </c>
      <c r="AI37" s="370">
        <v>9028822.4700000007</v>
      </c>
      <c r="AJ37" s="362"/>
      <c r="AK37" s="368"/>
      <c r="AL37" s="362"/>
      <c r="AM37" s="368"/>
      <c r="AN37" s="362"/>
      <c r="AO37" s="368"/>
      <c r="AP37" s="362"/>
      <c r="AQ37" s="368"/>
      <c r="AR37" s="362"/>
      <c r="AS37" s="36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</row>
    <row r="38" spans="1:71" ht="27.95" customHeight="1">
      <c r="T38" s="362"/>
      <c r="U38" s="368"/>
      <c r="V38" s="362"/>
      <c r="W38" s="368"/>
      <c r="X38" s="362"/>
      <c r="Y38" s="368"/>
      <c r="Z38" s="362"/>
      <c r="AA38" s="368"/>
      <c r="AB38" s="362"/>
      <c r="AC38" s="36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</row>
    <row r="39" spans="1:71" ht="48" customHeight="1">
      <c r="A39" s="459" t="s">
        <v>147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349"/>
      <c r="R39" s="362"/>
      <c r="S39" s="362"/>
      <c r="T39" s="362"/>
      <c r="U39" s="36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</row>
    <row r="40" spans="1:71" ht="27.95" customHeight="1">
      <c r="A40" s="416"/>
      <c r="B40" s="278" t="s">
        <v>216</v>
      </c>
      <c r="C40" s="455" t="s">
        <v>116</v>
      </c>
      <c r="D40" s="22" t="s">
        <v>213</v>
      </c>
      <c r="E40" s="350" t="s">
        <v>116</v>
      </c>
      <c r="F40" s="278" t="s">
        <v>211</v>
      </c>
      <c r="G40" s="417" t="s">
        <v>116</v>
      </c>
      <c r="H40" s="22" t="s">
        <v>209</v>
      </c>
      <c r="I40" s="350" t="s">
        <v>116</v>
      </c>
      <c r="J40" s="278" t="s">
        <v>208</v>
      </c>
      <c r="K40" s="399" t="s">
        <v>116</v>
      </c>
      <c r="L40" s="22" t="s">
        <v>202</v>
      </c>
      <c r="M40" s="350" t="s">
        <v>116</v>
      </c>
      <c r="N40" s="278" t="s">
        <v>199</v>
      </c>
      <c r="O40" s="417" t="s">
        <v>116</v>
      </c>
      <c r="P40" s="22" t="s">
        <v>198</v>
      </c>
      <c r="Q40" s="278" t="s">
        <v>197</v>
      </c>
      <c r="R40" s="22" t="s">
        <v>194</v>
      </c>
      <c r="S40" s="278" t="s">
        <v>191</v>
      </c>
      <c r="T40" s="22" t="s">
        <v>190</v>
      </c>
      <c r="U40" s="278" t="s">
        <v>188</v>
      </c>
      <c r="V40" s="22" t="s">
        <v>185</v>
      </c>
      <c r="W40" s="418" t="s">
        <v>163</v>
      </c>
      <c r="X40" s="22" t="s">
        <v>118</v>
      </c>
      <c r="Y40" s="278" t="s">
        <v>25</v>
      </c>
      <c r="Z40" s="22" t="s">
        <v>26</v>
      </c>
      <c r="AA40" s="418" t="s">
        <v>16</v>
      </c>
      <c r="AB40" s="22" t="s">
        <v>27</v>
      </c>
      <c r="AC40" s="278" t="s">
        <v>28</v>
      </c>
      <c r="AD40" s="22" t="s">
        <v>29</v>
      </c>
      <c r="AE40" s="418" t="s">
        <v>20</v>
      </c>
      <c r="AF40" s="22" t="s">
        <v>30</v>
      </c>
      <c r="AG40" s="278" t="s">
        <v>31</v>
      </c>
      <c r="AH40" s="22" t="s">
        <v>32</v>
      </c>
      <c r="AI40" s="278" t="s">
        <v>24</v>
      </c>
      <c r="AJ40" s="362"/>
      <c r="AK40" s="368"/>
      <c r="AL40" s="362"/>
      <c r="AM40" s="368"/>
      <c r="AN40" s="362"/>
      <c r="AO40" s="368"/>
      <c r="AP40" s="362"/>
      <c r="AQ40" s="368"/>
      <c r="AR40" s="362"/>
      <c r="AS40" s="36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</row>
    <row r="41" spans="1:71" ht="27.95" customHeight="1">
      <c r="A41" s="413" t="s">
        <v>2</v>
      </c>
      <c r="B41" s="411">
        <f t="shared" ref="B41:B48" si="17">B23-D23</f>
        <v>6554560.2400000021</v>
      </c>
      <c r="C41" s="474">
        <f t="shared" ref="C41:C48" si="18">(B41/J41)-1</f>
        <v>0.15502162521765772</v>
      </c>
      <c r="D41" s="373">
        <f t="shared" ref="D41:D48" si="19">D23-F23</f>
        <v>5982127.0899999999</v>
      </c>
      <c r="E41" s="426">
        <f>(D41/L41)-1</f>
        <v>5.2299746608015729E-2</v>
      </c>
      <c r="F41" s="411">
        <f>F23</f>
        <v>4776697.0199999996</v>
      </c>
      <c r="G41" s="419">
        <f>(F41/N41)-1</f>
        <v>2.4007122036467266E-2</v>
      </c>
      <c r="H41" s="373">
        <f t="shared" ref="H41:H48" si="20">H23-J23</f>
        <v>28326267</v>
      </c>
      <c r="I41" s="426">
        <f>H41/P41-1</f>
        <v>-0.10789264427986089</v>
      </c>
      <c r="J41" s="420">
        <f>J23-L23</f>
        <v>5674837.6799999997</v>
      </c>
      <c r="K41" s="356">
        <f>(J41/Q41)-1</f>
        <v>-0.15432245317857274</v>
      </c>
      <c r="L41" s="373">
        <f t="shared" ref="L41:L48" si="21">L23-N23</f>
        <v>5684812.8200000003</v>
      </c>
      <c r="M41" s="426">
        <f>L41/R41-1</f>
        <v>-0.69804788274256047</v>
      </c>
      <c r="N41" s="411">
        <f>N23</f>
        <v>4664710.74</v>
      </c>
      <c r="O41" s="419">
        <f>(N41/S41)-1</f>
        <v>-0.43935625982798665</v>
      </c>
      <c r="P41" s="373">
        <f>P23-Q23</f>
        <v>31752083.219999999</v>
      </c>
      <c r="Q41" s="420">
        <f>Q23-R23</f>
        <v>6710403.629999999</v>
      </c>
      <c r="R41" s="373">
        <f>R23-S23</f>
        <v>18826868.549999997</v>
      </c>
      <c r="S41" s="411">
        <f>S23</f>
        <v>8320276.1500000004</v>
      </c>
      <c r="T41" s="373">
        <f>[2]RZIS!AD6</f>
        <v>25977592.920000002</v>
      </c>
      <c r="U41" s="420">
        <f t="shared" ref="U41:V45" si="22">U23-V23</f>
        <v>8475146.5500000007</v>
      </c>
      <c r="V41" s="373">
        <f t="shared" si="22"/>
        <v>10312480.859999999</v>
      </c>
      <c r="W41" s="431">
        <v>7515272.7000000002</v>
      </c>
      <c r="X41" s="357">
        <v>23418124.890000004</v>
      </c>
      <c r="Y41" s="420">
        <v>11875417.399999999</v>
      </c>
      <c r="Z41" s="357">
        <v>3064842.4899999998</v>
      </c>
      <c r="AA41" s="431">
        <v>2770085.85</v>
      </c>
      <c r="AB41" s="357">
        <v>18240694.190000001</v>
      </c>
      <c r="AC41" s="420">
        <v>3501047.2699999996</v>
      </c>
      <c r="AD41" s="357">
        <v>5545700.3000000007</v>
      </c>
      <c r="AE41" s="421">
        <v>3884552.59</v>
      </c>
      <c r="AF41" s="357">
        <v>17104575.149999999</v>
      </c>
      <c r="AG41" s="420">
        <v>6379682.8700000001</v>
      </c>
      <c r="AH41" s="357">
        <v>4252315.8899999997</v>
      </c>
      <c r="AI41" s="420">
        <v>3371233.83</v>
      </c>
      <c r="AJ41" s="362"/>
      <c r="AK41" s="368"/>
      <c r="AL41" s="362"/>
      <c r="AM41" s="368"/>
      <c r="AN41" s="362"/>
      <c r="AO41" s="368"/>
      <c r="AP41" s="362"/>
      <c r="AQ41" s="368"/>
      <c r="AR41" s="362"/>
      <c r="AS41" s="36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</row>
    <row r="42" spans="1:71" ht="27.95" customHeight="1">
      <c r="A42" s="414" t="s">
        <v>3</v>
      </c>
      <c r="B42" s="369">
        <f t="shared" si="17"/>
        <v>-415196.98999999987</v>
      </c>
      <c r="C42" s="475">
        <f t="shared" si="18"/>
        <v>-1.1755297673269693</v>
      </c>
      <c r="D42" s="62">
        <f t="shared" si="19"/>
        <v>-341276.43999999936</v>
      </c>
      <c r="E42" s="425">
        <f t="shared" ref="E42:E48" si="23">(D42/L42)-1</f>
        <v>-3.1693343014753945</v>
      </c>
      <c r="F42" s="369">
        <f>F24</f>
        <v>-377662.22000000067</v>
      </c>
      <c r="G42" s="422">
        <f t="shared" ref="G42:G47" si="24">(F42/N42)-1</f>
        <v>-1.6168693585496388</v>
      </c>
      <c r="H42" s="62">
        <f t="shared" si="20"/>
        <v>5062333.3599999994</v>
      </c>
      <c r="I42" s="425">
        <f t="shared" ref="I42:I48" si="25">H42/P42-1</f>
        <v>-0.42668680099424683</v>
      </c>
      <c r="J42" s="370">
        <f>J24-L24</f>
        <v>2365393.6099999994</v>
      </c>
      <c r="K42" s="365">
        <f>(J42/Q42)-1</f>
        <v>2.2850370795361092</v>
      </c>
      <c r="L42" s="62">
        <f t="shared" si="21"/>
        <v>157318.50999999978</v>
      </c>
      <c r="M42" s="425">
        <f>L42/R42-1</f>
        <v>-0.97150845907771677</v>
      </c>
      <c r="N42" s="369">
        <f>N24</f>
        <v>612223.99000000022</v>
      </c>
      <c r="O42" s="422">
        <f>(N42/S42)-1</f>
        <v>-0.68342880943492024</v>
      </c>
      <c r="P42" s="62">
        <f>P24-Q24</f>
        <v>8829961.3000000007</v>
      </c>
      <c r="Q42" s="370">
        <f>Q24-R24</f>
        <v>720050.8099999968</v>
      </c>
      <c r="R42" s="62">
        <f>R24-S24</f>
        <v>5521586.5800000001</v>
      </c>
      <c r="S42" s="369">
        <f>S24</f>
        <v>1933922</v>
      </c>
      <c r="T42" s="62">
        <f>[2]RZIS!AD8</f>
        <v>6712362.7199999988</v>
      </c>
      <c r="U42" s="370">
        <f t="shared" si="22"/>
        <v>2839265.4400000004</v>
      </c>
      <c r="V42" s="62">
        <f t="shared" si="22"/>
        <v>1077983.0999999994</v>
      </c>
      <c r="W42" s="424">
        <v>498800.60000000056</v>
      </c>
      <c r="X42" s="28">
        <v>5274569.9300000053</v>
      </c>
      <c r="Y42" s="370">
        <v>2956076.2899999972</v>
      </c>
      <c r="Z42" s="28">
        <v>891883.92000000039</v>
      </c>
      <c r="AA42" s="424">
        <v>312729.4700000002</v>
      </c>
      <c r="AB42" s="28">
        <v>2441555.5300000012</v>
      </c>
      <c r="AC42" s="370">
        <v>259938.39999999851</v>
      </c>
      <c r="AD42" s="28">
        <v>433051.59000000078</v>
      </c>
      <c r="AE42" s="423">
        <v>526565.71</v>
      </c>
      <c r="AF42" s="28">
        <v>5550429.9900000002</v>
      </c>
      <c r="AG42" s="370">
        <v>1586061.9900000002</v>
      </c>
      <c r="AH42" s="28">
        <v>496162.11999999965</v>
      </c>
      <c r="AI42" s="370">
        <v>-471281.43999999994</v>
      </c>
      <c r="AJ42" s="362"/>
      <c r="AK42" s="368"/>
      <c r="AL42" s="362"/>
      <c r="AM42" s="368"/>
      <c r="AN42" s="362"/>
      <c r="AO42" s="368"/>
      <c r="AP42" s="362"/>
      <c r="AQ42" s="368"/>
      <c r="AR42" s="362"/>
      <c r="AS42" s="36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</row>
    <row r="43" spans="1:71" ht="27.95" customHeight="1">
      <c r="A43" s="414" t="s">
        <v>4</v>
      </c>
      <c r="B43" s="369">
        <f t="shared" si="17"/>
        <v>-2687241.76</v>
      </c>
      <c r="C43" s="475">
        <f t="shared" si="18"/>
        <v>19.386488805053997</v>
      </c>
      <c r="D43" s="62">
        <f t="shared" si="19"/>
        <v>-2313537.5099999998</v>
      </c>
      <c r="E43" s="425">
        <f t="shared" si="23"/>
        <v>0.17678069923353479</v>
      </c>
      <c r="F43" s="369">
        <f>F25</f>
        <v>-2255905.9400000004</v>
      </c>
      <c r="G43" s="422">
        <f t="shared" si="24"/>
        <v>0.80749921992260054</v>
      </c>
      <c r="H43" s="62">
        <f t="shared" si="20"/>
        <v>1369059.2599999998</v>
      </c>
      <c r="I43" s="425">
        <f t="shared" si="25"/>
        <v>-0.74990748987083333</v>
      </c>
      <c r="J43" s="370">
        <f>J25-L25</f>
        <v>-131814.84000000078</v>
      </c>
      <c r="K43" s="365">
        <f>(J43/Q43)-1</f>
        <v>-0.90909571522824961</v>
      </c>
      <c r="L43" s="62">
        <f t="shared" si="21"/>
        <v>-1965988.6599999997</v>
      </c>
      <c r="M43" s="425">
        <f>L43/R43-1</f>
        <v>-1.6494100915957257</v>
      </c>
      <c r="N43" s="369">
        <f>N25</f>
        <v>-1248081.2799999998</v>
      </c>
      <c r="O43" s="422">
        <f>(N43/S43)-1</f>
        <v>-7.4050267974924502</v>
      </c>
      <c r="P43" s="62">
        <f>P25-Q25</f>
        <v>5474211.3600000013</v>
      </c>
      <c r="Q43" s="370">
        <f>Q25-R25</f>
        <v>-1450039.9000000036</v>
      </c>
      <c r="R43" s="62">
        <f>R25-S25</f>
        <v>3027345.41</v>
      </c>
      <c r="S43" s="369">
        <f>S25</f>
        <v>194859.65000000002</v>
      </c>
      <c r="T43" s="62">
        <f>[2]RZIS!AD11</f>
        <v>4228919.4499999993</v>
      </c>
      <c r="U43" s="370">
        <f t="shared" si="22"/>
        <v>850155.8900000006</v>
      </c>
      <c r="V43" s="62">
        <f t="shared" si="22"/>
        <v>-619272.69000000041</v>
      </c>
      <c r="W43" s="424">
        <v>-1097435.4999999995</v>
      </c>
      <c r="X43" s="28">
        <v>2828634.7000000053</v>
      </c>
      <c r="Y43" s="370">
        <v>902264.39999999735</v>
      </c>
      <c r="Z43" s="28">
        <v>-562646.74</v>
      </c>
      <c r="AA43" s="424">
        <v>-1054029.8499999996</v>
      </c>
      <c r="AB43" s="28">
        <v>801701.86000000127</v>
      </c>
      <c r="AC43" s="370">
        <v>-1388429.8700000015</v>
      </c>
      <c r="AD43" s="28">
        <v>-1329038.8399999992</v>
      </c>
      <c r="AE43" s="423">
        <v>-823547.90000000014</v>
      </c>
      <c r="AF43" s="28">
        <v>4079570.04</v>
      </c>
      <c r="AG43" s="370">
        <v>142831.77000000002</v>
      </c>
      <c r="AH43" s="28">
        <v>-771982.24000000022</v>
      </c>
      <c r="AI43" s="370">
        <v>-2006752.75</v>
      </c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</row>
    <row r="44" spans="1:71" ht="27.95" customHeight="1">
      <c r="A44" s="414" t="s">
        <v>144</v>
      </c>
      <c r="B44" s="369">
        <f t="shared" si="17"/>
        <v>-2321314.9300000006</v>
      </c>
      <c r="C44" s="475">
        <f t="shared" si="18"/>
        <v>19.557451388356153</v>
      </c>
      <c r="D44" s="62">
        <f t="shared" si="19"/>
        <v>-2275135.3499999992</v>
      </c>
      <c r="E44" s="425">
        <f t="shared" si="23"/>
        <v>-0.23393338718758705</v>
      </c>
      <c r="F44" s="369">
        <f>F26</f>
        <v>-2172728.0000000005</v>
      </c>
      <c r="G44" s="422">
        <f t="shared" si="24"/>
        <v>0.59764352712261148</v>
      </c>
      <c r="H44" s="62">
        <f t="shared" si="20"/>
        <v>830529.52</v>
      </c>
      <c r="I44" s="425">
        <f t="shared" si="25"/>
        <v>-0.76520252675507638</v>
      </c>
      <c r="J44" s="370">
        <f>J26-L26</f>
        <v>-112918.42000000086</v>
      </c>
      <c r="K44" s="365">
        <f>(J44/Q44)-1</f>
        <v>-0.9257447354207522</v>
      </c>
      <c r="L44" s="62">
        <f t="shared" si="21"/>
        <v>-2969892.3200000003</v>
      </c>
      <c r="M44" s="425">
        <f>L44/R44-1</f>
        <v>-2.027216979597819</v>
      </c>
      <c r="N44" s="369">
        <f>N26</f>
        <v>-1359957.9399999997</v>
      </c>
      <c r="O44" s="422">
        <f>(N44/S44)-1</f>
        <v>-31.201736964493843</v>
      </c>
      <c r="P44" s="62">
        <f>P26-Q26</f>
        <v>3537216.6000000015</v>
      </c>
      <c r="Q44" s="370">
        <f>Q26-R26</f>
        <v>-1520678.9800000016</v>
      </c>
      <c r="R44" s="62">
        <f>R26-S26</f>
        <v>2891202.5199999982</v>
      </c>
      <c r="S44" s="369">
        <f>S26</f>
        <v>45029.130000000034</v>
      </c>
      <c r="T44" s="62">
        <f>[2]RZIS!AD14</f>
        <v>4478406.8099999987</v>
      </c>
      <c r="U44" s="370">
        <f t="shared" si="22"/>
        <v>866200.5000000007</v>
      </c>
      <c r="V44" s="62">
        <f t="shared" si="22"/>
        <v>-431331.15000000037</v>
      </c>
      <c r="W44" s="424">
        <v>-1088697.9299999997</v>
      </c>
      <c r="X44" s="28">
        <v>3040847.4500000048</v>
      </c>
      <c r="Y44" s="370">
        <v>900511.04999999737</v>
      </c>
      <c r="Z44" s="28">
        <v>-551965.80000000005</v>
      </c>
      <c r="AA44" s="424">
        <v>-397819.9499999996</v>
      </c>
      <c r="AB44" s="28">
        <v>-152781.06999999844</v>
      </c>
      <c r="AC44" s="370">
        <v>-381048.40000000177</v>
      </c>
      <c r="AD44" s="28">
        <v>-1480345.8499999992</v>
      </c>
      <c r="AE44" s="423">
        <v>-753959.83000000019</v>
      </c>
      <c r="AF44" s="28">
        <v>4550705.57</v>
      </c>
      <c r="AG44" s="370">
        <v>530684.88999999966</v>
      </c>
      <c r="AH44" s="28">
        <v>-787767.23</v>
      </c>
      <c r="AI44" s="370">
        <v>-2054945.98</v>
      </c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</row>
    <row r="45" spans="1:71" ht="27.95" customHeight="1">
      <c r="A45" s="414" t="s">
        <v>5</v>
      </c>
      <c r="B45" s="369">
        <f t="shared" si="17"/>
        <v>486422.24</v>
      </c>
      <c r="C45" s="475">
        <f t="shared" si="18"/>
        <v>2.6562179345888781E-2</v>
      </c>
      <c r="D45" s="62">
        <f t="shared" si="19"/>
        <v>499990.45</v>
      </c>
      <c r="E45" s="425">
        <f t="shared" si="23"/>
        <v>0.17851273330725603</v>
      </c>
      <c r="F45" s="369">
        <f>F27</f>
        <v>478250.29</v>
      </c>
      <c r="G45" s="422">
        <f t="shared" si="24"/>
        <v>0.17440608607437369</v>
      </c>
      <c r="H45" s="62">
        <f t="shared" si="20"/>
        <v>476689.55000000005</v>
      </c>
      <c r="I45" s="425">
        <f t="shared" si="25"/>
        <v>0.13668013925650269</v>
      </c>
      <c r="J45" s="370">
        <f>J27-L27</f>
        <v>473836.11999999988</v>
      </c>
      <c r="K45" s="365">
        <f>(J45/Q45)-1</f>
        <v>0.18081620476673077</v>
      </c>
      <c r="L45" s="62">
        <f t="shared" si="21"/>
        <v>424255.45000000007</v>
      </c>
      <c r="M45" s="425">
        <f>L45/R45-1</f>
        <v>6.4867961081025882E-2</v>
      </c>
      <c r="N45" s="369">
        <f>N27</f>
        <v>407227.36</v>
      </c>
      <c r="O45" s="422">
        <f>(N45/S45)-1</f>
        <v>3.0611900140720127E-2</v>
      </c>
      <c r="P45" s="62">
        <f>P27-Q27</f>
        <v>419370.00000000047</v>
      </c>
      <c r="Q45" s="370">
        <f>Q27-R27</f>
        <v>401278.46999999951</v>
      </c>
      <c r="R45" s="62">
        <f>R27-S27</f>
        <v>398411.31999999995</v>
      </c>
      <c r="S45" s="369">
        <f>S27</f>
        <v>395131.63</v>
      </c>
      <c r="T45" s="62">
        <f>T27-U27</f>
        <v>416400.54000000004</v>
      </c>
      <c r="U45" s="370">
        <f t="shared" si="22"/>
        <v>329648.52999999991</v>
      </c>
      <c r="V45" s="62">
        <f t="shared" si="22"/>
        <v>328991.37</v>
      </c>
      <c r="W45" s="424">
        <v>329563.56000000006</v>
      </c>
      <c r="X45" s="28">
        <v>336823.49999999919</v>
      </c>
      <c r="Y45" s="370">
        <v>308895.90000000072</v>
      </c>
      <c r="Z45" s="28">
        <v>327792.75000000006</v>
      </c>
      <c r="AA45" s="424">
        <v>333051.08</v>
      </c>
      <c r="AB45" s="28">
        <v>332870.22999999986</v>
      </c>
      <c r="AC45" s="370">
        <v>332850.87</v>
      </c>
      <c r="AD45" s="28">
        <v>321894.41000000003</v>
      </c>
      <c r="AE45" s="423">
        <v>318398.39</v>
      </c>
      <c r="AF45" s="28">
        <v>320080.60999999964</v>
      </c>
      <c r="AG45" s="370">
        <v>331030.81999999983</v>
      </c>
      <c r="AH45" s="28">
        <v>319515.3600000008</v>
      </c>
      <c r="AI45" s="370">
        <v>329826.80999999959</v>
      </c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</row>
    <row r="46" spans="1:71" ht="27.95" customHeight="1">
      <c r="A46" s="414" t="s">
        <v>1</v>
      </c>
      <c r="B46" s="369">
        <f t="shared" si="17"/>
        <v>-1834892.6900000013</v>
      </c>
      <c r="C46" s="475">
        <f t="shared" si="18"/>
        <v>-6.0839642666458484</v>
      </c>
      <c r="D46" s="62">
        <f t="shared" si="19"/>
        <v>-1775144.899999999</v>
      </c>
      <c r="E46" s="425">
        <f t="shared" si="23"/>
        <v>-0.30267159431894974</v>
      </c>
      <c r="F46" s="369">
        <f>F44+F45</f>
        <v>-1694477.7100000004</v>
      </c>
      <c r="G46" s="422">
        <f t="shared" si="24"/>
        <v>0.77854867427473673</v>
      </c>
      <c r="H46" s="62">
        <f t="shared" si="20"/>
        <v>1307219.0700000003</v>
      </c>
      <c r="I46" s="425">
        <f t="shared" si="25"/>
        <v>-0.66960938754632604</v>
      </c>
      <c r="J46" s="369">
        <f t="shared" ref="J46" si="26">J44+J45</f>
        <v>360917.69999999902</v>
      </c>
      <c r="K46" s="365">
        <f>(J46/Q46)-1</f>
        <v>-1.3224205248932739</v>
      </c>
      <c r="L46" s="62">
        <f t="shared" si="21"/>
        <v>-2545636.87</v>
      </c>
      <c r="M46" s="425">
        <f>L46/R46-1</f>
        <v>-1.7738406371733899</v>
      </c>
      <c r="N46" s="369">
        <f>N44+N45</f>
        <v>-952730.57999999973</v>
      </c>
      <c r="O46" s="422">
        <f>(N46/S46)-1</f>
        <v>-3.1645059409657503</v>
      </c>
      <c r="P46" s="62">
        <f>P28-Q28</f>
        <v>3956586.6000000015</v>
      </c>
      <c r="Q46" s="369">
        <f t="shared" ref="Q46" si="27">Q44+Q45</f>
        <v>-1119400.5100000021</v>
      </c>
      <c r="R46" s="62">
        <f>R28-S28</f>
        <v>3289613.839999998</v>
      </c>
      <c r="S46" s="369">
        <f>S44+S45</f>
        <v>440160.76</v>
      </c>
      <c r="T46" s="62">
        <f>T44+T45</f>
        <v>4894807.3499999987</v>
      </c>
      <c r="U46" s="369">
        <f t="shared" ref="U46" si="28">U44+U45</f>
        <v>1195849.0300000007</v>
      </c>
      <c r="V46" s="62">
        <f>V44+V45</f>
        <v>-102339.78000000038</v>
      </c>
      <c r="W46" s="424">
        <f>W44+W45</f>
        <v>-759134.36999999965</v>
      </c>
      <c r="X46" s="62">
        <f t="shared" ref="X46:AI46" si="29">X44+X45</f>
        <v>3377670.9500000039</v>
      </c>
      <c r="Y46" s="369">
        <f t="shared" si="29"/>
        <v>1209406.9499999981</v>
      </c>
      <c r="Z46" s="62">
        <f t="shared" si="29"/>
        <v>-224173.05</v>
      </c>
      <c r="AA46" s="424">
        <f t="shared" si="29"/>
        <v>-64768.869999999588</v>
      </c>
      <c r="AB46" s="62">
        <f t="shared" si="29"/>
        <v>180089.16000000143</v>
      </c>
      <c r="AC46" s="369">
        <f t="shared" si="29"/>
        <v>-48197.530000001774</v>
      </c>
      <c r="AD46" s="62">
        <f t="shared" si="29"/>
        <v>-1158451.439999999</v>
      </c>
      <c r="AE46" s="424">
        <f t="shared" si="29"/>
        <v>-435561.44000000018</v>
      </c>
      <c r="AF46" s="62">
        <f t="shared" si="29"/>
        <v>4870786.18</v>
      </c>
      <c r="AG46" s="369">
        <f t="shared" si="29"/>
        <v>861715.7099999995</v>
      </c>
      <c r="AH46" s="62">
        <f t="shared" si="29"/>
        <v>-468251.86999999918</v>
      </c>
      <c r="AI46" s="369">
        <f t="shared" si="29"/>
        <v>-1725119.1700000004</v>
      </c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</row>
    <row r="47" spans="1:71" ht="27.95" customHeight="1">
      <c r="A47" s="414" t="s">
        <v>6</v>
      </c>
      <c r="B47" s="369">
        <f t="shared" si="17"/>
        <v>-2377072.0799999991</v>
      </c>
      <c r="C47" s="475">
        <f t="shared" si="18"/>
        <v>14.26105649918637</v>
      </c>
      <c r="D47" s="62">
        <f t="shared" si="19"/>
        <v>-1993584.7399999998</v>
      </c>
      <c r="E47" s="425">
        <f t="shared" si="23"/>
        <v>-0.21813934525610668</v>
      </c>
      <c r="F47" s="369">
        <f>F29</f>
        <v>-2388612.2400000007</v>
      </c>
      <c r="G47" s="422">
        <f t="shared" si="24"/>
        <v>0.43161387973650411</v>
      </c>
      <c r="H47" s="62">
        <f t="shared" si="20"/>
        <v>508282.49999999953</v>
      </c>
      <c r="I47" s="425">
        <f t="shared" si="25"/>
        <v>-0.86106086174578467</v>
      </c>
      <c r="J47" s="370">
        <f>J29-L29</f>
        <v>-155760.65000000037</v>
      </c>
      <c r="K47" s="365">
        <f>(J47/Q47)-1</f>
        <v>-0.89778627761566865</v>
      </c>
      <c r="L47" s="62">
        <f t="shared" si="21"/>
        <v>-2549795.4499999997</v>
      </c>
      <c r="M47" s="425">
        <f>L47/R47-1</f>
        <v>-1.9418793538679855</v>
      </c>
      <c r="N47" s="369">
        <f>N29</f>
        <v>-1668475.19</v>
      </c>
      <c r="O47" s="422">
        <f>(N47/S47)-1</f>
        <v>13.956695665846405</v>
      </c>
      <c r="P47" s="62">
        <f>P29-Q29</f>
        <v>3658310.4400000009</v>
      </c>
      <c r="Q47" s="370">
        <f>Q29-R29</f>
        <v>-1523872.2000000016</v>
      </c>
      <c r="R47" s="62">
        <f>R29-S29</f>
        <v>2707135.9399999981</v>
      </c>
      <c r="S47" s="369">
        <f>S29</f>
        <v>-111553.72999999998</v>
      </c>
      <c r="T47" s="62">
        <f>[2]RZIS!AD17</f>
        <v>4401959.3999999994</v>
      </c>
      <c r="U47" s="370">
        <f>U29-V29</f>
        <v>922848.65000000061</v>
      </c>
      <c r="V47" s="62">
        <f>V29-W29</f>
        <v>-607738.00000000023</v>
      </c>
      <c r="W47" s="424">
        <v>-882375.66999999969</v>
      </c>
      <c r="X47" s="28">
        <v>3210389.400000005</v>
      </c>
      <c r="Y47" s="370">
        <v>1341573.069999997</v>
      </c>
      <c r="Z47" s="28">
        <v>-701994.61999999988</v>
      </c>
      <c r="AA47" s="424">
        <v>-522851.60999999958</v>
      </c>
      <c r="AB47" s="28">
        <v>-202372.60999999847</v>
      </c>
      <c r="AC47" s="370">
        <v>-537281.56000000238</v>
      </c>
      <c r="AD47" s="28">
        <v>-1902308.0899999989</v>
      </c>
      <c r="AE47" s="423">
        <v>-887509.62000000023</v>
      </c>
      <c r="AF47" s="28">
        <v>4158604.8899999997</v>
      </c>
      <c r="AG47" s="370">
        <v>205853.5</v>
      </c>
      <c r="AH47" s="28">
        <v>-1080523.2700000005</v>
      </c>
      <c r="AI47" s="370">
        <v>-2301146.0299999998</v>
      </c>
      <c r="AJ47" s="353"/>
      <c r="AK47" s="353"/>
      <c r="AL47" s="353"/>
      <c r="AM47" s="353"/>
      <c r="AN47" s="353"/>
      <c r="AO47" s="353"/>
      <c r="AP47" s="353"/>
      <c r="AQ47" s="353"/>
      <c r="AR47" s="353"/>
      <c r="AS47" s="377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</row>
    <row r="48" spans="1:71" ht="27.95" customHeight="1">
      <c r="A48" s="414" t="s">
        <v>7</v>
      </c>
      <c r="B48" s="470">
        <f t="shared" si="17"/>
        <v>-1969902.0799999996</v>
      </c>
      <c r="C48" s="476">
        <f t="shared" si="18"/>
        <v>42.586099104670105</v>
      </c>
      <c r="D48" s="62">
        <f t="shared" si="19"/>
        <v>-1813090.7399999993</v>
      </c>
      <c r="E48" s="425">
        <f t="shared" si="23"/>
        <v>-9.3440329021190482E-2</v>
      </c>
      <c r="F48" s="369">
        <f>F30</f>
        <v>-2037435.2400000007</v>
      </c>
      <c r="G48" s="422">
        <f>(F48/N48)-1</f>
        <v>0.4609887157245729</v>
      </c>
      <c r="H48" s="62">
        <f t="shared" si="20"/>
        <v>409377.25999999978</v>
      </c>
      <c r="I48" s="425">
        <f t="shared" si="25"/>
        <v>-0.84654613760425346</v>
      </c>
      <c r="J48" s="370">
        <f>J30-L30</f>
        <v>-45195.650000000373</v>
      </c>
      <c r="K48" s="365">
        <f>(J48/Q48)-1</f>
        <v>-0.96396910388117185</v>
      </c>
      <c r="L48" s="62">
        <f t="shared" si="21"/>
        <v>-1999968.4499999997</v>
      </c>
      <c r="M48" s="425">
        <f>L48/R48-1</f>
        <v>-1.8999632377217412</v>
      </c>
      <c r="N48" s="369">
        <f>N30</f>
        <v>-1394559.19</v>
      </c>
      <c r="O48" s="422">
        <f>(N48/S48)-1</f>
        <v>9.3794488787507806</v>
      </c>
      <c r="P48" s="62">
        <f>P30-Q30</f>
        <v>2667754.682800001</v>
      </c>
      <c r="Q48" s="370">
        <f>Q30-R30</f>
        <v>-1254358.2000000016</v>
      </c>
      <c r="R48" s="62">
        <f>R30-S30</f>
        <v>2222277.9399999981</v>
      </c>
      <c r="S48" s="369">
        <f>S30</f>
        <v>-134357.72999999998</v>
      </c>
      <c r="T48" s="62">
        <f>[2]RZIS!AD20</f>
        <v>3274170.3999999994</v>
      </c>
      <c r="U48" s="370">
        <f>U30-V30</f>
        <v>1023910.6500000006</v>
      </c>
      <c r="V48" s="62">
        <f>V30-W30</f>
        <v>-528030.00000000023</v>
      </c>
      <c r="W48" s="424">
        <v>-892299.66999999969</v>
      </c>
      <c r="X48" s="28">
        <v>2911289.400000005</v>
      </c>
      <c r="Y48" s="370">
        <v>1334941.069999997</v>
      </c>
      <c r="Z48" s="28">
        <v>-745353.61999999988</v>
      </c>
      <c r="AA48" s="424">
        <v>-516480.60999999958</v>
      </c>
      <c r="AB48" s="28">
        <v>-81347.609999998473</v>
      </c>
      <c r="AC48" s="370">
        <v>-730395.56000000238</v>
      </c>
      <c r="AD48" s="28">
        <v>-1849713.0899999989</v>
      </c>
      <c r="AE48" s="423">
        <v>-1130647.6200000001</v>
      </c>
      <c r="AF48" s="28">
        <v>4160091.8899999997</v>
      </c>
      <c r="AG48" s="370">
        <v>174063.5</v>
      </c>
      <c r="AH48" s="28">
        <v>-1115458.2700000005</v>
      </c>
      <c r="AI48" s="370">
        <v>-2330669.0299999998</v>
      </c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</row>
    <row r="49" spans="1:55" ht="27.95" customHeight="1">
      <c r="A49" s="378"/>
      <c r="B49" s="472"/>
      <c r="C49" s="473"/>
      <c r="D49" s="471"/>
      <c r="E49" s="378"/>
      <c r="F49" s="378"/>
      <c r="G49" s="378"/>
      <c r="H49" s="378"/>
      <c r="I49" s="378"/>
      <c r="J49" s="378"/>
      <c r="K49" s="378"/>
      <c r="L49" s="379"/>
      <c r="M49" s="378"/>
      <c r="N49" s="378"/>
      <c r="O49" s="380"/>
      <c r="P49" s="380"/>
      <c r="Q49" s="381"/>
      <c r="R49" s="381"/>
      <c r="S49" s="380"/>
      <c r="T49" s="382"/>
      <c r="U49" s="382"/>
      <c r="V49" s="380"/>
      <c r="W49" s="380"/>
      <c r="X49" s="380"/>
      <c r="Y49" s="380"/>
      <c r="Z49" s="380"/>
      <c r="AA49" s="380"/>
      <c r="AB49" s="380"/>
      <c r="AC49" s="380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</row>
    <row r="50" spans="1:55" ht="27.95" customHeight="1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4"/>
      <c r="M50" s="384"/>
      <c r="N50" s="385"/>
      <c r="O50" s="385"/>
      <c r="P50" s="386"/>
      <c r="Q50" s="386"/>
      <c r="R50" s="387"/>
      <c r="S50" s="387"/>
      <c r="T50" s="387"/>
      <c r="U50" s="387"/>
      <c r="V50" s="387"/>
      <c r="W50" s="387"/>
      <c r="X50" s="387"/>
      <c r="Y50" s="387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</row>
    <row r="51" spans="1:55" ht="27.95" customHeight="1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4"/>
      <c r="L51" s="384"/>
      <c r="M51" s="388"/>
      <c r="N51" s="388"/>
      <c r="O51" s="388"/>
      <c r="P51" s="386"/>
      <c r="Q51" s="378"/>
      <c r="R51" s="389"/>
      <c r="S51" s="378"/>
      <c r="T51" s="378"/>
      <c r="U51" s="378"/>
      <c r="V51" s="378"/>
      <c r="W51" s="378"/>
      <c r="X51" s="378"/>
    </row>
    <row r="52" spans="1:55" ht="27.95" customHeight="1">
      <c r="A52" s="383"/>
      <c r="B52" s="383"/>
      <c r="C52" s="383"/>
      <c r="D52" s="383"/>
      <c r="E52" s="383"/>
      <c r="F52" s="383"/>
      <c r="G52" s="383"/>
      <c r="H52" s="383"/>
      <c r="I52" s="378"/>
      <c r="J52" s="378"/>
      <c r="K52" s="388"/>
      <c r="L52" s="388"/>
      <c r="M52" s="388"/>
      <c r="N52" s="388"/>
      <c r="O52" s="386"/>
      <c r="P52" s="386"/>
      <c r="Q52" s="378"/>
      <c r="R52" s="378"/>
      <c r="S52" s="378"/>
      <c r="T52" s="378"/>
      <c r="U52" s="378"/>
      <c r="V52" s="378"/>
    </row>
    <row r="53" spans="1:55" ht="27.95" customHeight="1">
      <c r="A53" s="383"/>
      <c r="B53" s="383"/>
      <c r="C53" s="383"/>
      <c r="D53" s="383"/>
      <c r="E53" s="383"/>
      <c r="F53" s="383"/>
      <c r="G53" s="383"/>
      <c r="H53" s="378"/>
      <c r="I53" s="378"/>
      <c r="J53" s="388"/>
      <c r="K53" s="388"/>
      <c r="L53" s="388"/>
      <c r="M53" s="388"/>
      <c r="N53" s="386"/>
      <c r="O53" s="386"/>
      <c r="P53" s="386"/>
      <c r="Q53" s="378"/>
      <c r="R53" s="378"/>
      <c r="S53" s="378"/>
      <c r="T53" s="378"/>
      <c r="U53" s="378"/>
    </row>
    <row r="54" spans="1:55" ht="27.95" customHeight="1">
      <c r="A54" s="383"/>
      <c r="B54" s="383"/>
      <c r="C54" s="383"/>
      <c r="D54" s="383"/>
      <c r="E54" s="383"/>
      <c r="F54" s="383"/>
      <c r="G54" s="383"/>
      <c r="H54" s="378"/>
      <c r="I54" s="378"/>
      <c r="J54" s="388"/>
      <c r="K54" s="388"/>
      <c r="L54" s="388"/>
      <c r="M54" s="388"/>
      <c r="N54" s="386"/>
      <c r="O54" s="386"/>
      <c r="P54" s="386"/>
      <c r="Q54" s="378"/>
      <c r="R54" s="378"/>
      <c r="S54" s="378"/>
      <c r="T54" s="378"/>
      <c r="U54" s="378"/>
    </row>
    <row r="55" spans="1:55" ht="27.95" customHeight="1">
      <c r="A55" s="383"/>
      <c r="B55" s="383"/>
      <c r="C55" s="383"/>
      <c r="D55" s="383"/>
      <c r="E55" s="383"/>
      <c r="F55" s="383"/>
      <c r="G55" s="383"/>
      <c r="H55" s="378"/>
      <c r="I55" s="378"/>
      <c r="J55" s="388"/>
      <c r="K55" s="388"/>
      <c r="L55" s="388"/>
      <c r="M55" s="388"/>
      <c r="N55" s="386"/>
      <c r="O55" s="386"/>
      <c r="P55" s="386"/>
      <c r="Q55" s="378"/>
      <c r="R55" s="378"/>
      <c r="S55" s="378"/>
      <c r="T55" s="378"/>
      <c r="U55" s="378"/>
    </row>
    <row r="56" spans="1:55" ht="27.95" customHeight="1">
      <c r="A56" s="383"/>
      <c r="B56" s="383"/>
      <c r="C56" s="383"/>
      <c r="D56" s="383"/>
      <c r="E56" s="383"/>
      <c r="F56" s="383"/>
      <c r="G56" s="383"/>
      <c r="H56" s="390"/>
      <c r="I56" s="390"/>
      <c r="J56" s="391"/>
      <c r="K56" s="391"/>
      <c r="L56" s="391"/>
      <c r="M56" s="391"/>
      <c r="N56" s="376"/>
      <c r="O56" s="376"/>
      <c r="P56" s="376"/>
      <c r="Q56" s="390"/>
      <c r="R56" s="390"/>
      <c r="S56" s="390"/>
      <c r="T56" s="390"/>
      <c r="U56" s="390"/>
    </row>
    <row r="57" spans="1:55" ht="27.95" customHeight="1">
      <c r="A57" s="383"/>
      <c r="B57" s="383"/>
      <c r="C57" s="383"/>
      <c r="D57" s="383"/>
      <c r="E57" s="383"/>
      <c r="F57" s="383"/>
      <c r="G57" s="383"/>
      <c r="H57" s="378"/>
      <c r="I57" s="378"/>
      <c r="J57" s="388"/>
      <c r="K57" s="388"/>
      <c r="L57" s="388"/>
      <c r="M57" s="388"/>
      <c r="N57" s="386"/>
      <c r="O57" s="386"/>
      <c r="P57" s="386"/>
      <c r="Q57" s="389"/>
      <c r="R57" s="378"/>
      <c r="S57" s="389"/>
      <c r="T57" s="378"/>
      <c r="U57" s="378"/>
    </row>
    <row r="58" spans="1:55" ht="27.95" customHeight="1">
      <c r="A58" s="383"/>
      <c r="B58" s="383"/>
      <c r="C58" s="383"/>
      <c r="D58" s="383"/>
      <c r="E58" s="383"/>
      <c r="F58" s="383"/>
      <c r="G58" s="383"/>
      <c r="H58" s="390"/>
      <c r="I58" s="390"/>
      <c r="J58" s="391"/>
      <c r="K58" s="391"/>
      <c r="L58" s="391"/>
      <c r="M58" s="391"/>
      <c r="N58" s="376"/>
      <c r="O58" s="376"/>
      <c r="P58" s="376"/>
      <c r="Q58" s="390"/>
      <c r="R58" s="390"/>
      <c r="S58" s="390"/>
      <c r="T58" s="390"/>
      <c r="U58" s="390"/>
    </row>
    <row r="59" spans="1:55">
      <c r="H59" s="392"/>
      <c r="I59" s="392"/>
      <c r="J59" s="393"/>
      <c r="K59" s="393"/>
    </row>
    <row r="60" spans="1:55">
      <c r="J60" s="393"/>
      <c r="K60" s="393"/>
    </row>
    <row r="61" spans="1:55">
      <c r="J61" s="393"/>
      <c r="K61" s="393"/>
    </row>
    <row r="62" spans="1:55">
      <c r="J62" s="393"/>
      <c r="K62" s="393"/>
    </row>
    <row r="63" spans="1:55">
      <c r="J63" s="393"/>
      <c r="K63" s="393"/>
    </row>
    <row r="65" spans="10:11">
      <c r="J65" s="393"/>
      <c r="K65" s="393"/>
    </row>
    <row r="66" spans="10:11">
      <c r="J66" s="393"/>
      <c r="K66" s="393"/>
    </row>
    <row r="67" spans="10:11">
      <c r="J67" s="393"/>
      <c r="K67" s="393"/>
    </row>
    <row r="68" spans="10:11">
      <c r="J68" s="393"/>
      <c r="K68" s="393"/>
    </row>
    <row r="69" spans="10:11">
      <c r="J69" s="393"/>
      <c r="K69" s="393"/>
    </row>
    <row r="70" spans="10:11">
      <c r="J70" s="393"/>
      <c r="K70" s="393"/>
    </row>
  </sheetData>
  <mergeCells count="4">
    <mergeCell ref="A1:O1"/>
    <mergeCell ref="A3:L3"/>
    <mergeCell ref="A21:L21"/>
    <mergeCell ref="A39:L39"/>
  </mergeCells>
  <pageMargins left="0.19685039370078741" right="0" top="0.19685039370078741" bottom="0.19685039370078741" header="0" footer="0"/>
  <pageSetup paperSize="9" scale="39" fitToHeight="0" orientation="landscape" horizontalDpi="4294967293" verticalDpi="4294967293" r:id="rId1"/>
  <headerFooter>
    <oddFooter>&amp;RREDWOOD PR
powered by PROFESCAPITAL</oddFooter>
  </headerFooter>
  <ignoredErrors>
    <ignoredError sqref="L23:P23 Q41:Q48 N46 C10:H10 L25:P28 M24:P24 C28 C41:C48 H23:I37 G28 L29:L30 I41:K48 D41:F48 E28 D28 F28 J28 S46:V46 R28 R45:S45 R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WYBRANE DANE</vt:lpstr>
      <vt:lpstr>BILANS</vt:lpstr>
      <vt:lpstr>RZIS </vt:lpstr>
      <vt:lpstr>PP</vt:lpstr>
      <vt:lpstr>ZZWKW</vt:lpstr>
      <vt:lpstr>SEGMENTY I</vt:lpstr>
      <vt:lpstr>SEGMENTY II</vt:lpstr>
      <vt:lpstr>WKAŹNIKI</vt:lpstr>
      <vt:lpstr>LUBAWA S.A. - WYBRANE DANE</vt:lpstr>
      <vt:lpstr>BILANS!Obszar_wydruku</vt:lpstr>
      <vt:lpstr>'LUBAWA S.A. - WYBRANE DANE'!Obszar_wydruku</vt:lpstr>
      <vt:lpstr>PP!Obszar_wydruku</vt:lpstr>
      <vt:lpstr>'RZIS '!Obszar_wydruku</vt:lpstr>
      <vt:lpstr>'SEGMENTY I'!Obszar_wydruku</vt:lpstr>
      <vt:lpstr>'SEGMENTY II'!Obszar_wydruku</vt:lpstr>
      <vt:lpstr>WKAŹNIKI!Obszar_wydruku</vt:lpstr>
      <vt:lpstr>'WYBRANE DANE'!Obszar_wydruku</vt:lpstr>
      <vt:lpstr>ZZWKW!Obszar_wydruku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2018-12-07T12:43:15Z</dcterms:modified>
</cp:coreProperties>
</file>